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3806185409\Downloads\"/>
    </mc:Choice>
  </mc:AlternateContent>
  <xr:revisionPtr revIDLastSave="0" documentId="13_ncr:1_{371953AD-24B8-42CD-9683-A586E395A135}" xr6:coauthVersionLast="47" xr6:coauthVersionMax="47" xr10:uidLastSave="{00000000-0000-0000-0000-000000000000}"/>
  <bookViews>
    <workbookView xWindow="-110" yWindow="-110" windowWidth="19420" windowHeight="10300" tabRatio="969" xr2:uid="{00000000-000D-0000-FFFF-FFFF00000000}"/>
  </bookViews>
  <sheets>
    <sheet name="RESUMO" sheetId="39" r:id="rId1"/>
    <sheet name=" Vigilante Diurno Armado" sheetId="46" r:id="rId2"/>
    <sheet name=" Vigilante Noturno Armado" sheetId="47" r:id="rId3"/>
    <sheet name=" Vigilante Diurno Desarmado" sheetId="33" r:id="rId4"/>
    <sheet name=" Vigilante Noturno Desarmado" sheetId="45" r:id="rId5"/>
    <sheet name="Equipamentos - vigilante armado" sheetId="55" r:id="rId6"/>
    <sheet name="Equipamentos - uso comum " sheetId="56" r:id="rId7"/>
    <sheet name="Uniforme " sheetId="53" r:id="rId8"/>
    <sheet name="Equipamento - MinC (BDB)" sheetId="48" r:id="rId9"/>
    <sheet name="Equipamento - MinC (Venâcio)" sheetId="49" r:id="rId10"/>
    <sheet name="Equipamento - Turismo (BLOCO U)" sheetId="50" r:id="rId11"/>
    <sheet name="Equipamento - Turismo (funasa)" sheetId="51" r:id="rId12"/>
    <sheet name="Equipamento - Turismo (EBC)" sheetId="52" r:id="rId13"/>
  </sheets>
  <definedNames>
    <definedName name="_xlnm.Print_Area" localSheetId="1">' Vigilante Diurno Armado'!$A$1:$D$136</definedName>
    <definedName name="_xlnm.Print_Area" localSheetId="3">' Vigilante Diurno Desarmado'!$A$1:$D$135</definedName>
    <definedName name="_xlnm.Print_Area" localSheetId="2">' Vigilante Noturno Armado'!$A$1:$D$136</definedName>
    <definedName name="_xlnm.Print_Area" localSheetId="4">' Vigilante Noturno Desarmado'!$A$1:$D$135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0" i="45" l="1"/>
  <c r="D110" i="33"/>
  <c r="D110" i="47"/>
  <c r="D110" i="46"/>
  <c r="D111" i="47"/>
  <c r="D111" i="46"/>
  <c r="N19" i="55"/>
  <c r="N10" i="55"/>
  <c r="K18" i="56"/>
  <c r="J18" i="56"/>
  <c r="K17" i="56"/>
  <c r="J17" i="56"/>
  <c r="K10" i="56"/>
  <c r="J10" i="56"/>
  <c r="K9" i="56"/>
  <c r="J9" i="56"/>
  <c r="K8" i="56"/>
  <c r="J8" i="56"/>
  <c r="K7" i="56"/>
  <c r="J7" i="56"/>
  <c r="K6" i="56"/>
  <c r="J6" i="56"/>
  <c r="J17" i="55"/>
  <c r="N17" i="55" s="1"/>
  <c r="J18" i="55"/>
  <c r="L18" i="55" s="1"/>
  <c r="J9" i="55"/>
  <c r="L9" i="55" s="1"/>
  <c r="J8" i="55"/>
  <c r="L8" i="55" s="1"/>
  <c r="J7" i="55"/>
  <c r="L7" i="55" s="1"/>
  <c r="J6" i="55"/>
  <c r="N6" i="55" s="1"/>
  <c r="N28" i="52"/>
  <c r="N28" i="50"/>
  <c r="N28" i="49"/>
  <c r="N7" i="48"/>
  <c r="N15" i="48" s="1"/>
  <c r="N8" i="48"/>
  <c r="N9" i="48"/>
  <c r="N10" i="48"/>
  <c r="N11" i="48"/>
  <c r="N12" i="48"/>
  <c r="N13" i="48"/>
  <c r="N14" i="48"/>
  <c r="N6" i="48"/>
  <c r="N27" i="52"/>
  <c r="N15" i="51"/>
  <c r="N28" i="51"/>
  <c r="N27" i="51"/>
  <c r="N27" i="50"/>
  <c r="N27" i="49"/>
  <c r="N27" i="48"/>
  <c r="N28" i="48" s="1"/>
  <c r="J26" i="52"/>
  <c r="N26" i="52" s="1"/>
  <c r="K25" i="52"/>
  <c r="J25" i="52"/>
  <c r="K24" i="52"/>
  <c r="J24" i="52"/>
  <c r="J23" i="52"/>
  <c r="N23" i="52" s="1"/>
  <c r="J14" i="52"/>
  <c r="N14" i="52" s="1"/>
  <c r="J13" i="52"/>
  <c r="N13" i="52" s="1"/>
  <c r="J12" i="52"/>
  <c r="L12" i="52" s="1"/>
  <c r="J11" i="52"/>
  <c r="L11" i="52" s="1"/>
  <c r="K10" i="52"/>
  <c r="J10" i="52"/>
  <c r="K9" i="52"/>
  <c r="J9" i="52"/>
  <c r="K8" i="52"/>
  <c r="J8" i="52"/>
  <c r="K7" i="52"/>
  <c r="J7" i="52"/>
  <c r="K6" i="52"/>
  <c r="J6" i="52"/>
  <c r="N6" i="52" s="1"/>
  <c r="J26" i="51"/>
  <c r="N26" i="51" s="1"/>
  <c r="K25" i="51"/>
  <c r="J25" i="51"/>
  <c r="K24" i="51"/>
  <c r="J24" i="51"/>
  <c r="J23" i="51"/>
  <c r="N23" i="51" s="1"/>
  <c r="J14" i="51"/>
  <c r="N14" i="51" s="1"/>
  <c r="J13" i="51"/>
  <c r="N13" i="51" s="1"/>
  <c r="J12" i="51"/>
  <c r="L12" i="51" s="1"/>
  <c r="J11" i="51"/>
  <c r="N11" i="51" s="1"/>
  <c r="K10" i="51"/>
  <c r="J10" i="51"/>
  <c r="N10" i="51" s="1"/>
  <c r="K9" i="51"/>
  <c r="J9" i="51"/>
  <c r="K8" i="51"/>
  <c r="J8" i="51"/>
  <c r="K7" i="51"/>
  <c r="J7" i="51"/>
  <c r="K6" i="51"/>
  <c r="J6" i="51"/>
  <c r="L6" i="51" s="1"/>
  <c r="J26" i="50"/>
  <c r="N26" i="50" s="1"/>
  <c r="K25" i="50"/>
  <c r="J25" i="50"/>
  <c r="K24" i="50"/>
  <c r="L24" i="50" s="1"/>
  <c r="J24" i="50"/>
  <c r="J23" i="50"/>
  <c r="N23" i="50" s="1"/>
  <c r="J14" i="50"/>
  <c r="N14" i="50" s="1"/>
  <c r="J13" i="50"/>
  <c r="N13" i="50" s="1"/>
  <c r="J12" i="50"/>
  <c r="L12" i="50" s="1"/>
  <c r="J11" i="50"/>
  <c r="N11" i="50" s="1"/>
  <c r="K10" i="50"/>
  <c r="J10" i="50"/>
  <c r="N10" i="50" s="1"/>
  <c r="K9" i="50"/>
  <c r="J9" i="50"/>
  <c r="K8" i="50"/>
  <c r="J8" i="50"/>
  <c r="K7" i="50"/>
  <c r="J7" i="50"/>
  <c r="N6" i="50"/>
  <c r="K6" i="50"/>
  <c r="J6" i="50"/>
  <c r="L6" i="50" s="1"/>
  <c r="K25" i="48"/>
  <c r="J25" i="48"/>
  <c r="K25" i="49"/>
  <c r="J25" i="49"/>
  <c r="J26" i="49"/>
  <c r="N26" i="49" s="1"/>
  <c r="K24" i="49"/>
  <c r="J24" i="49"/>
  <c r="J23" i="49"/>
  <c r="N23" i="49" s="1"/>
  <c r="J14" i="49"/>
  <c r="N14" i="49" s="1"/>
  <c r="J13" i="49"/>
  <c r="N13" i="49" s="1"/>
  <c r="J12" i="49"/>
  <c r="L12" i="49" s="1"/>
  <c r="J11" i="49"/>
  <c r="L11" i="49" s="1"/>
  <c r="K10" i="49"/>
  <c r="J10" i="49"/>
  <c r="K9" i="49"/>
  <c r="J9" i="49"/>
  <c r="K8" i="49"/>
  <c r="J8" i="49"/>
  <c r="K7" i="49"/>
  <c r="J7" i="49"/>
  <c r="K6" i="49"/>
  <c r="J6" i="49"/>
  <c r="L6" i="49" s="1"/>
  <c r="K9" i="53"/>
  <c r="M9" i="53" s="1"/>
  <c r="C9" i="53"/>
  <c r="K8" i="53"/>
  <c r="M8" i="53" s="1"/>
  <c r="K7" i="53"/>
  <c r="M7" i="53" s="1"/>
  <c r="K6" i="53"/>
  <c r="M6" i="53" s="1"/>
  <c r="C6" i="53"/>
  <c r="K5" i="53"/>
  <c r="M5" i="53" s="1"/>
  <c r="C5" i="53"/>
  <c r="K4" i="53"/>
  <c r="M4" i="53" s="1"/>
  <c r="C4" i="53"/>
  <c r="J12" i="48"/>
  <c r="N6" i="56" l="1"/>
  <c r="L17" i="56"/>
  <c r="L7" i="56"/>
  <c r="N8" i="56"/>
  <c r="N17" i="56"/>
  <c r="N9" i="56"/>
  <c r="N18" i="56"/>
  <c r="N19" i="56" s="1"/>
  <c r="N20" i="56" s="1"/>
  <c r="N10" i="56"/>
  <c r="N7" i="56"/>
  <c r="L18" i="56"/>
  <c r="L10" i="56"/>
  <c r="L8" i="56"/>
  <c r="L6" i="56"/>
  <c r="L9" i="56"/>
  <c r="L17" i="55"/>
  <c r="N18" i="55"/>
  <c r="N20" i="55" s="1"/>
  <c r="N8" i="55"/>
  <c r="N7" i="55"/>
  <c r="N9" i="55"/>
  <c r="L6" i="55"/>
  <c r="N11" i="52"/>
  <c r="N12" i="52"/>
  <c r="L8" i="52"/>
  <c r="N10" i="52"/>
  <c r="N25" i="52"/>
  <c r="N9" i="51"/>
  <c r="N8" i="51"/>
  <c r="N24" i="51"/>
  <c r="N6" i="51"/>
  <c r="L11" i="51"/>
  <c r="N8" i="50"/>
  <c r="N9" i="50"/>
  <c r="L11" i="50"/>
  <c r="N25" i="49"/>
  <c r="N24" i="52"/>
  <c r="N9" i="52"/>
  <c r="N8" i="52"/>
  <c r="N7" i="52"/>
  <c r="N15" i="52" s="1"/>
  <c r="N25" i="51"/>
  <c r="L9" i="51"/>
  <c r="N7" i="51"/>
  <c r="N16" i="51" s="1"/>
  <c r="N25" i="50"/>
  <c r="L9" i="50"/>
  <c r="N7" i="50"/>
  <c r="L6" i="52"/>
  <c r="L9" i="52"/>
  <c r="L13" i="52"/>
  <c r="L24" i="52"/>
  <c r="L10" i="52"/>
  <c r="L14" i="52"/>
  <c r="L7" i="52"/>
  <c r="L25" i="52"/>
  <c r="L26" i="52"/>
  <c r="L23" i="52"/>
  <c r="L8" i="51"/>
  <c r="N12" i="51"/>
  <c r="L13" i="51"/>
  <c r="L24" i="51"/>
  <c r="L7" i="51"/>
  <c r="L10" i="51"/>
  <c r="L14" i="51"/>
  <c r="L25" i="51"/>
  <c r="L26" i="51"/>
  <c r="L23" i="51"/>
  <c r="L8" i="50"/>
  <c r="L23" i="50"/>
  <c r="N12" i="50"/>
  <c r="N24" i="50"/>
  <c r="L7" i="50"/>
  <c r="L10" i="50"/>
  <c r="L14" i="50"/>
  <c r="L25" i="50"/>
  <c r="L13" i="50"/>
  <c r="L26" i="50"/>
  <c r="L25" i="48"/>
  <c r="N25" i="48"/>
  <c r="L25" i="49"/>
  <c r="N11" i="49"/>
  <c r="N6" i="49"/>
  <c r="N12" i="49"/>
  <c r="L13" i="49"/>
  <c r="L8" i="49"/>
  <c r="N9" i="49"/>
  <c r="N10" i="49"/>
  <c r="L24" i="49"/>
  <c r="N24" i="49"/>
  <c r="N7" i="49"/>
  <c r="N8" i="49"/>
  <c r="L9" i="49"/>
  <c r="L7" i="49"/>
  <c r="L10" i="49"/>
  <c r="L14" i="49"/>
  <c r="L26" i="49"/>
  <c r="L23" i="49"/>
  <c r="M10" i="53"/>
  <c r="M11" i="53" s="1"/>
  <c r="L12" i="48"/>
  <c r="N11" i="56" l="1"/>
  <c r="K24" i="56" s="1"/>
  <c r="N11" i="55"/>
  <c r="K25" i="55" s="1"/>
  <c r="N15" i="50"/>
  <c r="N16" i="50" s="1"/>
  <c r="N15" i="49"/>
  <c r="N16" i="49" s="1"/>
  <c r="N16" i="52"/>
  <c r="N12" i="56" l="1"/>
  <c r="K25" i="56" s="1"/>
  <c r="K24" i="55"/>
  <c r="K24" i="48"/>
  <c r="J24" i="48"/>
  <c r="J13" i="48"/>
  <c r="J14" i="48"/>
  <c r="J11" i="48"/>
  <c r="L11" i="48" s="1"/>
  <c r="D22" i="46"/>
  <c r="C64" i="46"/>
  <c r="C64" i="33"/>
  <c r="C64" i="45"/>
  <c r="C64" i="47"/>
  <c r="C63" i="45"/>
  <c r="L24" i="48" l="1"/>
  <c r="N24" i="48"/>
  <c r="L13" i="48"/>
  <c r="L14" i="48"/>
  <c r="D113" i="46"/>
  <c r="D132" i="46" s="1"/>
  <c r="J6" i="48"/>
  <c r="K6" i="48"/>
  <c r="J7" i="48"/>
  <c r="K7" i="48"/>
  <c r="J8" i="48"/>
  <c r="K8" i="48"/>
  <c r="J9" i="48"/>
  <c r="K9" i="48"/>
  <c r="J10" i="48"/>
  <c r="K10" i="48"/>
  <c r="J23" i="48"/>
  <c r="N23" i="48" s="1"/>
  <c r="J26" i="48"/>
  <c r="L26" i="48" s="1"/>
  <c r="L10" i="48" l="1"/>
  <c r="L23" i="48"/>
  <c r="L6" i="48"/>
  <c r="L7" i="48"/>
  <c r="L8" i="48"/>
  <c r="N26" i="48"/>
  <c r="L9" i="48"/>
  <c r="N16" i="48" l="1"/>
  <c r="C61" i="46" l="1"/>
  <c r="D22" i="45"/>
  <c r="D31" i="33"/>
  <c r="D37" i="33" s="1"/>
  <c r="C62" i="33"/>
  <c r="C57" i="33"/>
  <c r="C81" i="33" s="1"/>
  <c r="C83" i="33" s="1"/>
  <c r="D112" i="33"/>
  <c r="D131" i="33" s="1"/>
  <c r="D31" i="45"/>
  <c r="D37" i="45" s="1"/>
  <c r="C62" i="45"/>
  <c r="C57" i="45"/>
  <c r="C81" i="45" s="1"/>
  <c r="C83" i="45" s="1"/>
  <c r="D112" i="45"/>
  <c r="D131" i="45" s="1"/>
  <c r="D113" i="47"/>
  <c r="D132" i="47" s="1"/>
  <c r="C119" i="47"/>
  <c r="C104" i="47"/>
  <c r="C94" i="47"/>
  <c r="C57" i="47"/>
  <c r="C81" i="47" s="1"/>
  <c r="C83" i="47" s="1"/>
  <c r="C62" i="47"/>
  <c r="C66" i="47" s="1"/>
  <c r="C41" i="47"/>
  <c r="C43" i="47" s="1"/>
  <c r="D31" i="47"/>
  <c r="D37" i="47" s="1"/>
  <c r="D89" i="47" s="1"/>
  <c r="D24" i="47"/>
  <c r="D22" i="47"/>
  <c r="C119" i="46"/>
  <c r="C104" i="46"/>
  <c r="C94" i="46"/>
  <c r="C57" i="46"/>
  <c r="C81" i="46" s="1"/>
  <c r="C83" i="46" s="1"/>
  <c r="C62" i="46"/>
  <c r="C41" i="46"/>
  <c r="C43" i="46" s="1"/>
  <c r="D31" i="46"/>
  <c r="D37" i="46" s="1"/>
  <c r="D24" i="46"/>
  <c r="C118" i="45"/>
  <c r="C104" i="45"/>
  <c r="C94" i="45"/>
  <c r="C41" i="45"/>
  <c r="C43" i="45" s="1"/>
  <c r="D24" i="45"/>
  <c r="C118" i="33"/>
  <c r="C104" i="33"/>
  <c r="C41" i="33"/>
  <c r="C43" i="33" s="1"/>
  <c r="D24" i="33"/>
  <c r="D22" i="33"/>
  <c r="C94" i="33"/>
  <c r="C66" i="45" l="1"/>
  <c r="C72" i="45" s="1"/>
  <c r="C66" i="33"/>
  <c r="C72" i="33" s="1"/>
  <c r="C66" i="46"/>
  <c r="D89" i="33"/>
  <c r="D127" i="33"/>
  <c r="D90" i="33"/>
  <c r="D41" i="33"/>
  <c r="D91" i="33"/>
  <c r="D42" i="33"/>
  <c r="D92" i="33"/>
  <c r="D88" i="33"/>
  <c r="C72" i="47"/>
  <c r="D92" i="45"/>
  <c r="D91" i="45"/>
  <c r="D127" i="45"/>
  <c r="D90" i="45"/>
  <c r="D41" i="45"/>
  <c r="D89" i="45"/>
  <c r="D42" i="45"/>
  <c r="D88" i="45"/>
  <c r="D92" i="47"/>
  <c r="D91" i="47"/>
  <c r="D42" i="47"/>
  <c r="D128" i="47"/>
  <c r="D90" i="47"/>
  <c r="D41" i="47"/>
  <c r="D88" i="47"/>
  <c r="C72" i="46"/>
  <c r="D92" i="46"/>
  <c r="D128" i="46"/>
  <c r="D91" i="46"/>
  <c r="D42" i="46"/>
  <c r="D90" i="46"/>
  <c r="D89" i="46"/>
  <c r="D41" i="46"/>
  <c r="D88" i="46"/>
  <c r="D43" i="33" l="1"/>
  <c r="D43" i="45"/>
  <c r="D43" i="47"/>
  <c r="D43" i="46"/>
  <c r="C70" i="33" l="1"/>
  <c r="D53" i="33"/>
  <c r="D54" i="33"/>
  <c r="D45" i="33"/>
  <c r="D55" i="33"/>
  <c r="D49" i="33"/>
  <c r="D56" i="33"/>
  <c r="D50" i="33"/>
  <c r="D51" i="33"/>
  <c r="D52" i="33"/>
  <c r="C70" i="45"/>
  <c r="D53" i="45"/>
  <c r="D56" i="45"/>
  <c r="D54" i="45"/>
  <c r="D50" i="45"/>
  <c r="D52" i="45"/>
  <c r="D49" i="45"/>
  <c r="D51" i="45"/>
  <c r="D45" i="45"/>
  <c r="D55" i="45"/>
  <c r="D53" i="47"/>
  <c r="C70" i="47"/>
  <c r="D56" i="47"/>
  <c r="D51" i="47"/>
  <c r="D45" i="47"/>
  <c r="D54" i="47"/>
  <c r="D55" i="47"/>
  <c r="D52" i="47"/>
  <c r="D49" i="47"/>
  <c r="D50" i="47"/>
  <c r="C70" i="46"/>
  <c r="D53" i="46"/>
  <c r="D54" i="46"/>
  <c r="D56" i="46"/>
  <c r="D45" i="46"/>
  <c r="D55" i="46"/>
  <c r="D51" i="46"/>
  <c r="D50" i="46"/>
  <c r="D49" i="46"/>
  <c r="D52" i="46"/>
  <c r="D57" i="33" l="1"/>
  <c r="C71" i="33" s="1"/>
  <c r="C73" i="33" s="1"/>
  <c r="D57" i="45"/>
  <c r="C71" i="45" s="1"/>
  <c r="C73" i="45" s="1"/>
  <c r="D57" i="47"/>
  <c r="C71" i="47" s="1"/>
  <c r="C73" i="47" s="1"/>
  <c r="D57" i="46"/>
  <c r="C71" i="46" s="1"/>
  <c r="C73" i="46" s="1"/>
  <c r="D128" i="33" l="1"/>
  <c r="D80" i="33"/>
  <c r="D79" i="33"/>
  <c r="D82" i="33"/>
  <c r="D77" i="33"/>
  <c r="D78" i="33"/>
  <c r="D81" i="33"/>
  <c r="D128" i="45"/>
  <c r="D77" i="45"/>
  <c r="D79" i="45"/>
  <c r="D81" i="45"/>
  <c r="D78" i="45"/>
  <c r="D82" i="45"/>
  <c r="D80" i="45"/>
  <c r="D78" i="47"/>
  <c r="D129" i="47"/>
  <c r="D81" i="47"/>
  <c r="D79" i="47"/>
  <c r="D77" i="47"/>
  <c r="D82" i="47"/>
  <c r="D80" i="47"/>
  <c r="D77" i="46"/>
  <c r="D81" i="46"/>
  <c r="D82" i="46"/>
  <c r="D80" i="46"/>
  <c r="D78" i="46"/>
  <c r="D79" i="46"/>
  <c r="D129" i="46"/>
  <c r="D83" i="33" l="1"/>
  <c r="D129" i="33" s="1"/>
  <c r="D83" i="45"/>
  <c r="D83" i="47"/>
  <c r="D83" i="46"/>
  <c r="D93" i="33" l="1"/>
  <c r="D94" i="33" s="1"/>
  <c r="C103" i="33" s="1"/>
  <c r="C105" i="33" s="1"/>
  <c r="D130" i="33" s="1"/>
  <c r="D132" i="33" s="1"/>
  <c r="D129" i="45"/>
  <c r="D93" i="45"/>
  <c r="D94" i="45" s="1"/>
  <c r="C103" i="45" s="1"/>
  <c r="C105" i="45" s="1"/>
  <c r="D130" i="45" s="1"/>
  <c r="D130" i="47"/>
  <c r="D93" i="47"/>
  <c r="D94" i="47" s="1"/>
  <c r="C103" i="47" s="1"/>
  <c r="C105" i="47" s="1"/>
  <c r="D131" i="47" s="1"/>
  <c r="D130" i="46"/>
  <c r="D93" i="46"/>
  <c r="D94" i="46" s="1"/>
  <c r="C103" i="46" s="1"/>
  <c r="C105" i="46" s="1"/>
  <c r="D131" i="46" s="1"/>
  <c r="D133" i="46" s="1"/>
  <c r="D117" i="46" s="1"/>
  <c r="D116" i="33" l="1"/>
  <c r="D117" i="33" s="1"/>
  <c r="D132" i="45"/>
  <c r="D133" i="47"/>
  <c r="D118" i="46"/>
  <c r="D120" i="33" l="1"/>
  <c r="D121" i="33"/>
  <c r="D122" i="33"/>
  <c r="D116" i="45"/>
  <c r="D117" i="47"/>
  <c r="D123" i="46"/>
  <c r="D121" i="46"/>
  <c r="D122" i="46"/>
  <c r="D123" i="33" l="1"/>
  <c r="D133" i="33" s="1"/>
  <c r="D135" i="33" s="1"/>
  <c r="D117" i="45"/>
  <c r="D122" i="45" s="1"/>
  <c r="D118" i="47"/>
  <c r="D122" i="47" s="1"/>
  <c r="D124" i="46"/>
  <c r="D134" i="46" s="1"/>
  <c r="D134" i="33" l="1"/>
  <c r="F5" i="39"/>
  <c r="G5" i="39" s="1"/>
  <c r="H5" i="39" s="1"/>
  <c r="F13" i="39"/>
  <c r="G13" i="39" s="1"/>
  <c r="H13" i="39" s="1"/>
  <c r="F20" i="39"/>
  <c r="G20" i="39" s="1"/>
  <c r="H20" i="39" s="1"/>
  <c r="D120" i="45"/>
  <c r="D121" i="45"/>
  <c r="D123" i="47"/>
  <c r="D121" i="47"/>
  <c r="D135" i="46"/>
  <c r="D136" i="46"/>
  <c r="F18" i="39" l="1"/>
  <c r="G18" i="39" s="1"/>
  <c r="H18" i="39" s="1"/>
  <c r="F3" i="39"/>
  <c r="D123" i="45"/>
  <c r="D133" i="45" s="1"/>
  <c r="D134" i="45" s="1"/>
  <c r="D124" i="47"/>
  <c r="D134" i="47" s="1"/>
  <c r="D135" i="47" s="1"/>
  <c r="F11" i="39"/>
  <c r="G11" i="39" s="1"/>
  <c r="H11" i="39" s="1"/>
  <c r="D135" i="45" l="1"/>
  <c r="G3" i="39"/>
  <c r="H3" i="39" s="1"/>
  <c r="D136" i="47"/>
  <c r="F19" i="39" l="1"/>
  <c r="G19" i="39" s="1"/>
  <c r="H19" i="39" s="1"/>
  <c r="F4" i="39"/>
  <c r="G4" i="39" s="1"/>
  <c r="H4" i="39" s="1"/>
  <c r="F21" i="39"/>
  <c r="G21" i="39" s="1"/>
  <c r="H21" i="39" s="1"/>
  <c r="F6" i="39"/>
  <c r="G6" i="39" s="1"/>
  <c r="H6" i="39" s="1"/>
  <c r="F12" i="39"/>
  <c r="G12" i="39" s="1"/>
  <c r="H12" i="39" s="1"/>
  <c r="H14" i="39" s="1"/>
  <c r="H7" i="39" l="1"/>
  <c r="H22" i="39"/>
</calcChain>
</file>

<file path=xl/sharedStrings.xml><?xml version="1.0" encoding="utf-8"?>
<sst xmlns="http://schemas.openxmlformats.org/spreadsheetml/2006/main" count="1295" uniqueCount="210">
  <si>
    <t>Dados complementares para composição dos custos referente à mão-de-obra</t>
  </si>
  <si>
    <t>Tipo de serviço (mesmo serviço com características distintas)</t>
  </si>
  <si>
    <t>Data base da categoria (dia/mês/ano)</t>
  </si>
  <si>
    <t>MÓDULO 1 - COMPOSIÇÃO DA REMUNERAÇÃO</t>
  </si>
  <si>
    <t>I</t>
  </si>
  <si>
    <t>Composição da Remuneração</t>
  </si>
  <si>
    <t>Valor (R$)</t>
  </si>
  <si>
    <t>A</t>
  </si>
  <si>
    <t>Salário Base</t>
  </si>
  <si>
    <t>B</t>
  </si>
  <si>
    <t>Adicional de periculosidade</t>
  </si>
  <si>
    <t>C</t>
  </si>
  <si>
    <t>Adicional de insalubridade</t>
  </si>
  <si>
    <t>D</t>
  </si>
  <si>
    <t>E</t>
  </si>
  <si>
    <t>Hora noturna adicional</t>
  </si>
  <si>
    <t>F</t>
  </si>
  <si>
    <t>G</t>
  </si>
  <si>
    <t>H</t>
  </si>
  <si>
    <t>Outros (especificar)</t>
  </si>
  <si>
    <t>Total da Remuneração</t>
  </si>
  <si>
    <t>MÓDULO 2 - BENEFÍCIOS MENSAIS E DIÁRIOS</t>
  </si>
  <si>
    <t>Benefícios Mensais e Diários</t>
  </si>
  <si>
    <t>Total de benefícios mensais e diários</t>
  </si>
  <si>
    <t>Insumos diversos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</si>
  <si>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</si>
  <si>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</si>
  <si>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</si>
  <si>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</si>
  <si>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</si>
  <si>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</si>
  <si>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</si>
  <si>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</si>
  <si>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</si>
  <si>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</si>
  <si>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Total</t>
  </si>
  <si>
    <t>4.2</t>
  </si>
  <si>
    <t>13º Salário</t>
  </si>
  <si>
    <t>Provisão para Rescisão</t>
  </si>
  <si>
    <t>Custo de Reposição do Profissional Ausente</t>
  </si>
  <si>
    <t>Custos Indiretos, Tributos e Lucro</t>
  </si>
  <si>
    <t>Custos Indiretos</t>
  </si>
  <si>
    <t>Tributos</t>
  </si>
  <si>
    <t>Tributos Federais (especificar)</t>
  </si>
  <si>
    <t>Lucro</t>
  </si>
  <si>
    <t>Mão-de-Obra vinculada à execução contratual (valor por empregado)</t>
  </si>
  <si>
    <t>(R$)</t>
  </si>
  <si>
    <t>Módulo 1 - Composição da Remuneração</t>
  </si>
  <si>
    <t>A.1</t>
  </si>
  <si>
    <t>Desconto Transporte</t>
  </si>
  <si>
    <t>PIS</t>
  </si>
  <si>
    <t>COFINS</t>
  </si>
  <si>
    <t>MODELO DE PLANILHA DE COMPOSIÇÃO DE CUSTOS E FORMAÇÃO DE PREÇOS</t>
  </si>
  <si>
    <t>Discriminação dos Serviços (dados referentes à contratação)</t>
  </si>
  <si>
    <t>Data de apresentação da proposta (dia/mês/ano)</t>
  </si>
  <si>
    <t>Município/UF</t>
  </si>
  <si>
    <t>Ano, Acordo, Convenção ou Sentença Normativa em Dissídio Coletivo</t>
  </si>
  <si>
    <t>Nº de meses de execução contratual</t>
  </si>
  <si>
    <t>Identificação do Serviço</t>
  </si>
  <si>
    <t>C.1</t>
  </si>
  <si>
    <t>C.1.1</t>
  </si>
  <si>
    <t>C.1.2</t>
  </si>
  <si>
    <t>CCT (REFERÊNCIA)</t>
  </si>
  <si>
    <t>Total de Insumos Diversos</t>
  </si>
  <si>
    <t>Nº da Licitação</t>
  </si>
  <si>
    <t>Nº do Processo</t>
  </si>
  <si>
    <t>Empresa</t>
  </si>
  <si>
    <t>TIPO DE SERVIÇO</t>
  </si>
  <si>
    <t>UNIDADE DE MEDIDA</t>
  </si>
  <si>
    <t>QUANTIDADE MENSAL A CONTRATAR</t>
  </si>
  <si>
    <t>Posto</t>
  </si>
  <si>
    <t>Quantidade (nº de trabalhadores)</t>
  </si>
  <si>
    <t>Adicional Noturno + Prorrogação Jornada Noturna</t>
  </si>
  <si>
    <t>Uniformes/EPIs</t>
  </si>
  <si>
    <t>Incidência do FGTS sobre o Aviso Prévio Indenizado</t>
  </si>
  <si>
    <t>Aviso Prévio Indenizado</t>
  </si>
  <si>
    <t>Aviso Prévio Trabalhado</t>
  </si>
  <si>
    <t>Feriado Trabalhado (Súmula 444 TST)</t>
  </si>
  <si>
    <t>Adicional de Férias</t>
  </si>
  <si>
    <t>13º (décimo terceiro) Salário, Férias e Adicional de Férias</t>
  </si>
  <si>
    <t>2.1</t>
  </si>
  <si>
    <t>Submódulo 2.2 - Encargos Previdenciários (GPS), Fundo de Garantia por Tempo de Serviço (FGTS) e outras contribuições.</t>
  </si>
  <si>
    <t>2.2</t>
  </si>
  <si>
    <t xml:space="preserve">Seguro Acidente do Trabalho </t>
  </si>
  <si>
    <t>Submódulo 2.3 - Benefícios Mensais e Diários.</t>
  </si>
  <si>
    <t>2.3</t>
  </si>
  <si>
    <t>Encargos e Benefícios Anuais, Mensais e Diários</t>
  </si>
  <si>
    <t>GPS, FGTS e outras contribuições</t>
  </si>
  <si>
    <t>TOTAL</t>
  </si>
  <si>
    <t>MÓDULO 3 - PROVISÃO PARA RESCISÃO</t>
  </si>
  <si>
    <t>Incidência do submódulo 2.2 sobre o Aviso Prévio Trabalhado</t>
  </si>
  <si>
    <t>MÓDULO 4 - CUSTO DE REPOSIÇÃO DE PROFISSIONAL AUSENTE</t>
  </si>
  <si>
    <t>Quadro-Resumo do Módulo 2 - Encargos e Benefícios Anuais, Mensais e Diários</t>
  </si>
  <si>
    <t>Submódulo 4.1 - Ausências Legais</t>
  </si>
  <si>
    <t>Ausências Legais</t>
  </si>
  <si>
    <t>Ausência Legais</t>
  </si>
  <si>
    <t>Licença Paternidade</t>
  </si>
  <si>
    <t>Submódulo 4.2 - Intrajornada</t>
  </si>
  <si>
    <t>Intrajornada</t>
  </si>
  <si>
    <t>Intervalo para repouso e alimentação</t>
  </si>
  <si>
    <t>Quadro-Resumo do Módulo 4 - Custo de Reposição de Profissional Ausente</t>
  </si>
  <si>
    <t>MÓDULO 5 - INSUMOS DIVERSOS</t>
  </si>
  <si>
    <t>MÓDULO 6 - CUSTOS INDIRETOS, TRIBUTOS E LUCRO</t>
  </si>
  <si>
    <t>C.1.3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</si>
  <si>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</si>
  <si>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</si>
  <si>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</si>
  <si>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</si>
  <si>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 C + D + E):</t>
  </si>
  <si>
    <t>Módulo 6 - Custos Indiretos, Tributos e Lucro</t>
  </si>
  <si>
    <t>Quadro-Resumo do Custo por Empregados</t>
  </si>
  <si>
    <t>Multa FGTS  e Contribuições Sociais do Aviso Prévio Trabalhado</t>
  </si>
  <si>
    <t>Ausência por Acidente de trabalho</t>
  </si>
  <si>
    <t>ISS</t>
  </si>
  <si>
    <t xml:space="preserve">Ausências Maternidade </t>
  </si>
  <si>
    <t>Categoria profissional (vinculada à execução contratual)</t>
  </si>
  <si>
    <t xml:space="preserve">Multa FGTS e contribuições sociais sobre o Aviso Prévio Indenizado </t>
  </si>
  <si>
    <t>Férias</t>
  </si>
  <si>
    <t>Valor Total Mensal do Empregado</t>
  </si>
  <si>
    <t>Valor Total Mensal do Posto</t>
  </si>
  <si>
    <t>Total - Módulo 1 + 2.1</t>
  </si>
  <si>
    <t xml:space="preserve">Salário normativo da categoria profissional </t>
  </si>
  <si>
    <t>ITEM</t>
  </si>
  <si>
    <t xml:space="preserve"> </t>
  </si>
  <si>
    <t>POSTO</t>
  </si>
  <si>
    <t>CBO</t>
  </si>
  <si>
    <t>QTD DE POSTOS</t>
  </si>
  <si>
    <t>Item</t>
  </si>
  <si>
    <t>Valor Unitário</t>
  </si>
  <si>
    <t xml:space="preserve">Qtd. Anual </t>
  </si>
  <si>
    <t>VALOR MENSAL DO POSTO</t>
  </si>
  <si>
    <t>VALOR ANUAL DO POSTO</t>
  </si>
  <si>
    <t>VALOR TOTAL DA CONTRATAÇÃO</t>
  </si>
  <si>
    <t>Valor Total Anual (R$)</t>
  </si>
  <si>
    <t>B.1</t>
  </si>
  <si>
    <t>Vigilante Diurno 12x36</t>
  </si>
  <si>
    <t>Quantidade Semestral</t>
  </si>
  <si>
    <t xml:space="preserve">Quantidade Anual </t>
  </si>
  <si>
    <t>Camisa de Manga Comprida</t>
  </si>
  <si>
    <t>Sapatos pretos</t>
  </si>
  <si>
    <t>Meias pretas</t>
  </si>
  <si>
    <t>Livros de Ocorrência</t>
  </si>
  <si>
    <t>Média</t>
  </si>
  <si>
    <t xml:space="preserve">Vida útil (meses) </t>
  </si>
  <si>
    <t xml:space="preserve">Valor mensal por posto </t>
  </si>
  <si>
    <t xml:space="preserve">TOTAL MENSAL POR POSTO </t>
  </si>
  <si>
    <t>TOTAL MENSAL POR VIGILANTE</t>
  </si>
  <si>
    <t>TOTAL ANUAL</t>
  </si>
  <si>
    <t>Desconto Auxílio-Refeição/ Alimentção</t>
  </si>
  <si>
    <t>5173-30</t>
  </si>
  <si>
    <t xml:space="preserve">Gravata </t>
  </si>
  <si>
    <t>Porta Cassetete*</t>
  </si>
  <si>
    <t>Rádio Comunicador*</t>
  </si>
  <si>
    <t>Cassetete*</t>
  </si>
  <si>
    <t xml:space="preserve">Obs. Os itens marcados (*) serão entregues uma única vez no início do contrato. </t>
  </si>
  <si>
    <t>Painel de Preços</t>
  </si>
  <si>
    <t xml:space="preserve">Cinto </t>
  </si>
  <si>
    <t>Revolver Calibre 38</t>
  </si>
  <si>
    <t>Cinto Tático guarnição completa ( com coldre, porta lanterna e porta munição e revolver</t>
  </si>
  <si>
    <t xml:space="preserve">Uniforme - Vigilante </t>
  </si>
  <si>
    <t>Lanterna Tática Recarregável</t>
  </si>
  <si>
    <t>Terno Preto (calça e paletó)</t>
  </si>
  <si>
    <t>Distrito Federal/DF</t>
  </si>
  <si>
    <t xml:space="preserve">Transporte (15x (5,50x2)) </t>
  </si>
  <si>
    <t xml:space="preserve">Equipamentos/Materiais </t>
  </si>
  <si>
    <t>Vigilante Diurno Desarmado 12x36</t>
  </si>
  <si>
    <t>Vigilante Noturno Desarmado 12x36</t>
  </si>
  <si>
    <t>Vigilante Diurno Armado 12x36</t>
  </si>
  <si>
    <t>Vigilante Noturno Armado 12x36</t>
  </si>
  <si>
    <t>a definir</t>
  </si>
  <si>
    <t>Equipamentos de uso comum para postos armados e desarmados</t>
  </si>
  <si>
    <t>Armário de aço*</t>
  </si>
  <si>
    <t>Apito (de metal, com cordão e com bolinha)*</t>
  </si>
  <si>
    <t>Cofre em perfeito estado, para a guarda do revólver calibre 38*</t>
  </si>
  <si>
    <t xml:space="preserve">Munição </t>
  </si>
  <si>
    <t>Internet</t>
  </si>
  <si>
    <t>MINISTÉRIO DA CULTURA</t>
  </si>
  <si>
    <t>MINISTÉRIO DO TURISMO</t>
  </si>
  <si>
    <t>VALOR DO POSTO PARA 60 MESES</t>
  </si>
  <si>
    <t>01400.035447/2023-54</t>
  </si>
  <si>
    <t>MR000333/2024</t>
  </si>
  <si>
    <t>CCT 2024</t>
  </si>
  <si>
    <t>Auxílio-Refeição/Alimentação (15 x 47,37)</t>
  </si>
  <si>
    <t>2024</t>
  </si>
  <si>
    <t>Colete Prova Tiro</t>
  </si>
  <si>
    <t>Capa Colete Balístico</t>
  </si>
  <si>
    <t>Equipamentos/Materiais para armados</t>
  </si>
  <si>
    <t>Equipamentos/Materiais</t>
  </si>
  <si>
    <t>Seguro de Vida</t>
  </si>
  <si>
    <t xml:space="preserve">Equipamentos de uso individual para o posto armado </t>
  </si>
  <si>
    <t>BDB - 4 POSTOS DIURNO (ARMADO) E 4 POSTOS NOTURNO (ARMADO)</t>
  </si>
  <si>
    <t>VENÂNCIO - 1 POSTO DIURNO (DESARMADO) E 1 POSTO NOTURNO (ARMADO)</t>
  </si>
  <si>
    <t>Equipamentos de uso individual para o posto armado e desarmado</t>
  </si>
  <si>
    <t>Equipamentos de uso individual para o posto armado  e desarmado</t>
  </si>
  <si>
    <t xml:space="preserve">FUNASA - 3 POSTOS NOTURNO (ARMADO) </t>
  </si>
  <si>
    <t>BLOCO U  - 2 POSTOS DIURNO (DESARMADO) E 1 POSTO NOTURNO (DESARMADO)</t>
  </si>
  <si>
    <t xml:space="preserve">Equipamentos de uso comum para postos armados </t>
  </si>
  <si>
    <t>Equipamentos de uso individual para o posto armado</t>
  </si>
  <si>
    <t xml:space="preserve">EBC- 3 POSTOS DIURNO (ARMADO) </t>
  </si>
  <si>
    <t>TOTAL EQUIPAMENTO MENSAL POR POSTO</t>
  </si>
  <si>
    <t>TOTAL EQUIPAMENTO MENSAL POR VIGILANTE</t>
  </si>
  <si>
    <t xml:space="preserve">Obs.1. Os itens marcados (*) serão entregues uma única vez no início do contrato. </t>
  </si>
  <si>
    <t>EQUIPAMENTO DE USO COMUM - 19 POSTOS</t>
  </si>
  <si>
    <t xml:space="preserve">Equipamentos de uso comum </t>
  </si>
  <si>
    <t>Equipamentos de uso individual</t>
  </si>
  <si>
    <t>Obs.2. (**) Na BDB foram considerados 8 postos para o uso individual e 4 postos para uso comum. Total do contrato para posto armado: 15 postos para uso comum e 11 postos para uso individual</t>
  </si>
  <si>
    <t xml:space="preserve">EQUIPAMENTO - VIGILANTE ARMADO </t>
  </si>
  <si>
    <t>Equipamentos de uso comum - 11 POSTOS**</t>
  </si>
  <si>
    <t>Equipamentos de uso individual - 15 POSTOS**</t>
  </si>
  <si>
    <r>
      <rPr>
        <b/>
        <sz val="11"/>
        <color theme="1"/>
        <rFont val="Calibri"/>
        <family val="2"/>
        <scheme val="minor"/>
      </rPr>
      <t>MINISTÉRIO DA CULTURA</t>
    </r>
    <r>
      <rPr>
        <sz val="11"/>
        <color theme="1"/>
        <rFont val="Calibri"/>
        <family val="2"/>
        <scheme val="minor"/>
      </rPr>
      <t xml:space="preserve">
Subsecretaria de Planejamento, Orçamento e Administração
Coordenação-Geral de Recursos Logísticos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</si>
</sst>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0.0000%"/>
    <numFmt numFmtId="166" formatCode="#,##0_ ;\-#,##0\ "/>
    <numFmt numFmtId="167" formatCode="_-[$R$-416]\ * #,##0.00_-;\-[$R$-416]\ * #,##0.00_-;_-[$R$-416]\ 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25">
    <xf numFmtId="0" fontId="0" fillId="0" borderId="0" xfId="0"/>
    <xf numFmtId="0" fontId="0" fillId="0" borderId="0" xfId="0" applyAlignment="1">
      <alignment horizontal="center"/>
    </xf>
    <xf numFmtId="10" fontId="9" fillId="4" borderId="15" xfId="2" applyNumberFormat="1" applyFont="1" applyFill="1" applyBorder="1" applyAlignment="1">
      <alignment horizontal="center"/>
    </xf>
    <xf numFmtId="10" fontId="9" fillId="4" borderId="15" xfId="2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vertical="center" wrapText="1"/>
    </xf>
    <xf numFmtId="10" fontId="12" fillId="4" borderId="1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vertical="center" wrapText="1"/>
    </xf>
    <xf numFmtId="10" fontId="10" fillId="4" borderId="1" xfId="2" applyNumberFormat="1" applyFont="1" applyFill="1" applyBorder="1" applyAlignment="1">
      <alignment horizontal="center" vertical="center" wrapText="1"/>
    </xf>
    <xf numFmtId="44" fontId="4" fillId="4" borderId="28" xfId="1" applyFont="1" applyFill="1" applyBorder="1" applyAlignment="1">
      <alignment horizontal="center" vertical="center" wrapText="1"/>
    </xf>
    <xf numFmtId="44" fontId="4" fillId="4" borderId="39" xfId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3" fillId="4" borderId="19" xfId="0" applyFont="1" applyFill="1" applyBorder="1" applyAlignment="1">
      <alignment horizontal="left" vertical="center" wrapText="1"/>
    </xf>
    <xf numFmtId="0" fontId="3" fillId="4" borderId="32" xfId="0" applyFont="1" applyFill="1" applyBorder="1" applyAlignment="1">
      <alignment horizontal="left" vertical="center" wrapText="1"/>
    </xf>
    <xf numFmtId="0" fontId="3" fillId="4" borderId="20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vertical="center" wrapText="1"/>
    </xf>
    <xf numFmtId="44" fontId="4" fillId="4" borderId="39" xfId="1" applyFont="1" applyFill="1" applyBorder="1" applyAlignment="1">
      <alignment vertical="center" wrapText="1"/>
    </xf>
    <xf numFmtId="44" fontId="4" fillId="4" borderId="12" xfId="1" applyFont="1" applyFill="1" applyBorder="1" applyAlignment="1">
      <alignment vertical="center" wrapText="1"/>
    </xf>
    <xf numFmtId="0" fontId="11" fillId="4" borderId="0" xfId="0" applyFont="1" applyFill="1"/>
    <xf numFmtId="0" fontId="4" fillId="4" borderId="26" xfId="0" applyFont="1" applyFill="1" applyBorder="1" applyAlignment="1">
      <alignment horizontal="center" vertical="center" wrapText="1"/>
    </xf>
    <xf numFmtId="44" fontId="4" fillId="4" borderId="36" xfId="1" applyFont="1" applyFill="1" applyBorder="1" applyAlignment="1">
      <alignment vertical="center" wrapText="1"/>
    </xf>
    <xf numFmtId="44" fontId="4" fillId="4" borderId="28" xfId="1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3" fillId="4" borderId="28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10" fontId="3" fillId="4" borderId="21" xfId="2" applyNumberFormat="1" applyFont="1" applyFill="1" applyBorder="1" applyAlignment="1">
      <alignment horizontal="center" vertical="center" wrapText="1"/>
    </xf>
    <xf numFmtId="164" fontId="0" fillId="4" borderId="12" xfId="0" applyNumberFormat="1" applyFill="1" applyBorder="1" applyAlignment="1">
      <alignment horizontal="center"/>
    </xf>
    <xf numFmtId="0" fontId="4" fillId="4" borderId="1" xfId="0" applyFont="1" applyFill="1" applyBorder="1" applyAlignment="1">
      <alignment horizontal="justify" vertical="center" wrapText="1"/>
    </xf>
    <xf numFmtId="0" fontId="4" fillId="4" borderId="27" xfId="0" applyFont="1" applyFill="1" applyBorder="1" applyAlignment="1">
      <alignment vertical="center" wrapText="1"/>
    </xf>
    <xf numFmtId="44" fontId="3" fillId="4" borderId="28" xfId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 wrapText="1"/>
    </xf>
    <xf numFmtId="44" fontId="4" fillId="4" borderId="1" xfId="1" applyFont="1" applyFill="1" applyBorder="1" applyAlignment="1">
      <alignment vertical="center" wrapText="1"/>
    </xf>
    <xf numFmtId="44" fontId="3" fillId="4" borderId="8" xfId="1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10" fontId="0" fillId="4" borderId="0" xfId="0" applyNumberFormat="1" applyFill="1"/>
    <xf numFmtId="0" fontId="6" fillId="4" borderId="0" xfId="0" applyFont="1" applyFill="1" applyAlignment="1">
      <alignment horizontal="center" vertical="center"/>
    </xf>
    <xf numFmtId="0" fontId="3" fillId="4" borderId="3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4" fontId="4" fillId="4" borderId="15" xfId="1" applyFont="1" applyFill="1" applyBorder="1" applyAlignment="1">
      <alignment vertical="center" wrapText="1"/>
    </xf>
    <xf numFmtId="165" fontId="3" fillId="4" borderId="21" xfId="2" applyNumberFormat="1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vertical="center" wrapText="1"/>
    </xf>
    <xf numFmtId="44" fontId="3" fillId="4" borderId="21" xfId="1" applyFont="1" applyFill="1" applyBorder="1" applyAlignment="1">
      <alignment horizontal="center" vertical="center" wrapText="1"/>
    </xf>
    <xf numFmtId="44" fontId="4" fillId="4" borderId="40" xfId="0" applyNumberFormat="1" applyFont="1" applyFill="1" applyBorder="1" applyAlignment="1">
      <alignment horizontal="center" vertical="center" wrapText="1"/>
    </xf>
    <xf numFmtId="10" fontId="3" fillId="4" borderId="15" xfId="2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horizontal="center" vertical="center" wrapText="1"/>
    </xf>
    <xf numFmtId="10" fontId="4" fillId="4" borderId="1" xfId="2" applyNumberFormat="1" applyFont="1" applyFill="1" applyBorder="1" applyAlignment="1">
      <alignment horizontal="center" vertical="center" wrapText="1"/>
    </xf>
    <xf numFmtId="44" fontId="4" fillId="4" borderId="28" xfId="0" applyNumberFormat="1" applyFont="1" applyFill="1" applyBorder="1" applyAlignment="1">
      <alignment horizontal="center" vertical="center" wrapText="1"/>
    </xf>
    <xf numFmtId="44" fontId="4" fillId="4" borderId="39" xfId="0" applyNumberFormat="1" applyFont="1" applyFill="1" applyBorder="1" applyAlignment="1">
      <alignment vertical="center" wrapText="1"/>
    </xf>
    <xf numFmtId="44" fontId="4" fillId="4" borderId="12" xfId="0" applyNumberFormat="1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44" fontId="4" fillId="4" borderId="36" xfId="0" applyNumberFormat="1" applyFont="1" applyFill="1" applyBorder="1" applyAlignment="1">
      <alignment vertical="center" wrapText="1"/>
    </xf>
    <xf numFmtId="44" fontId="3" fillId="4" borderId="12" xfId="0" applyNumberFormat="1" applyFont="1" applyFill="1" applyBorder="1" applyAlignment="1">
      <alignment vertical="center" wrapText="1"/>
    </xf>
    <xf numFmtId="44" fontId="3" fillId="4" borderId="41" xfId="0" applyNumberFormat="1" applyFont="1" applyFill="1" applyBorder="1" applyAlignment="1">
      <alignment vertical="center" wrapText="1"/>
    </xf>
    <xf numFmtId="0" fontId="13" fillId="5" borderId="1" xfId="4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4" fontId="9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44" fontId="15" fillId="2" borderId="1" xfId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164" fontId="15" fillId="4" borderId="0" xfId="0" applyNumberFormat="1" applyFont="1" applyFill="1" applyAlignment="1">
      <alignment horizontal="center" vertical="center" wrapText="1"/>
    </xf>
    <xf numFmtId="164" fontId="11" fillId="4" borderId="0" xfId="0" applyNumberFormat="1" applyFont="1" applyFill="1" applyAlignment="1">
      <alignment horizontal="center" vertical="center" wrapText="1"/>
    </xf>
    <xf numFmtId="44" fontId="0" fillId="0" borderId="0" xfId="0" applyNumberFormat="1" applyAlignment="1">
      <alignment wrapText="1"/>
    </xf>
    <xf numFmtId="44" fontId="11" fillId="2" borderId="1" xfId="0" applyNumberFormat="1" applyFont="1" applyFill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44" fontId="5" fillId="2" borderId="1" xfId="0" applyNumberFormat="1" applyFont="1" applyFill="1" applyBorder="1" applyAlignment="1">
      <alignment wrapText="1"/>
    </xf>
    <xf numFmtId="44" fontId="11" fillId="3" borderId="1" xfId="0" applyNumberFormat="1" applyFont="1" applyFill="1" applyBorder="1" applyAlignment="1">
      <alignment wrapText="1"/>
    </xf>
    <xf numFmtId="44" fontId="4" fillId="4" borderId="1" xfId="1" applyFont="1" applyFill="1" applyBorder="1" applyAlignment="1">
      <alignment horizontal="center" vertical="center" wrapText="1"/>
    </xf>
    <xf numFmtId="10" fontId="3" fillId="4" borderId="1" xfId="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1" fillId="4" borderId="0" xfId="0" applyFont="1" applyFill="1" applyAlignment="1">
      <alignment vertical="center" wrapText="1"/>
    </xf>
    <xf numFmtId="44" fontId="19" fillId="0" borderId="1" xfId="1" applyFont="1" applyBorder="1" applyAlignment="1">
      <alignment horizontal="center" vertical="center" wrapText="1"/>
    </xf>
    <xf numFmtId="4" fontId="0" fillId="0" borderId="0" xfId="0" applyNumberFormat="1"/>
    <xf numFmtId="167" fontId="0" fillId="0" borderId="0" xfId="0" applyNumberFormat="1"/>
    <xf numFmtId="10" fontId="21" fillId="4" borderId="15" xfId="2" applyNumberFormat="1" applyFont="1" applyFill="1" applyBorder="1" applyAlignment="1">
      <alignment horizontal="center" vertical="center"/>
    </xf>
    <xf numFmtId="167" fontId="16" fillId="0" borderId="1" xfId="0" applyNumberFormat="1" applyFont="1" applyBorder="1" applyAlignment="1">
      <alignment horizontal="center"/>
    </xf>
    <xf numFmtId="167" fontId="16" fillId="0" borderId="1" xfId="1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166" fontId="15" fillId="2" borderId="27" xfId="0" applyNumberFormat="1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15" fillId="2" borderId="44" xfId="1" applyNumberFormat="1" applyFont="1" applyFill="1" applyBorder="1" applyAlignment="1">
      <alignment horizontal="center" vertical="center" wrapText="1"/>
    </xf>
    <xf numFmtId="44" fontId="11" fillId="2" borderId="1" xfId="0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4" fontId="23" fillId="2" borderId="15" xfId="0" applyNumberFormat="1" applyFont="1" applyFill="1" applyBorder="1" applyAlignment="1">
      <alignment horizontal="center" vertical="center"/>
    </xf>
    <xf numFmtId="44" fontId="23" fillId="2" borderId="15" xfId="0" applyNumberFormat="1" applyFont="1" applyFill="1" applyBorder="1" applyAlignment="1">
      <alignment vertical="center"/>
    </xf>
    <xf numFmtId="44" fontId="19" fillId="0" borderId="15" xfId="1" applyFont="1" applyBorder="1" applyAlignment="1">
      <alignment horizontal="center" vertical="center" wrapText="1"/>
    </xf>
    <xf numFmtId="44" fontId="0" fillId="0" borderId="15" xfId="1" applyFont="1" applyBorder="1" applyAlignment="1">
      <alignment horizontal="center" vertical="center" wrapText="1"/>
    </xf>
    <xf numFmtId="44" fontId="15" fillId="2" borderId="14" xfId="1" applyFont="1" applyFill="1" applyBorder="1" applyAlignment="1">
      <alignment horizontal="center" vertical="center" wrapText="1"/>
    </xf>
    <xf numFmtId="44" fontId="0" fillId="0" borderId="45" xfId="0" applyNumberFormat="1" applyBorder="1" applyAlignment="1">
      <alignment horizontal="center" vertical="center" wrapText="1"/>
    </xf>
    <xf numFmtId="44" fontId="19" fillId="0" borderId="12" xfId="1" applyFont="1" applyBorder="1" applyAlignment="1">
      <alignment horizontal="center" vertical="center" wrapText="1"/>
    </xf>
    <xf numFmtId="44" fontId="19" fillId="0" borderId="27" xfId="1" applyFont="1" applyBorder="1" applyAlignment="1">
      <alignment horizontal="center" vertical="center" wrapText="1"/>
    </xf>
    <xf numFmtId="44" fontId="0" fillId="0" borderId="27" xfId="1" applyFont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left" vertical="center" wrapText="1"/>
    </xf>
    <xf numFmtId="0" fontId="4" fillId="4" borderId="43" xfId="0" applyFont="1" applyFill="1" applyBorder="1" applyAlignment="1">
      <alignment horizontal="left" vertical="center" wrapText="1"/>
    </xf>
    <xf numFmtId="44" fontId="4" fillId="4" borderId="0" xfId="1" applyFont="1" applyFill="1" applyBorder="1" applyAlignment="1">
      <alignment vertical="center" wrapText="1"/>
    </xf>
    <xf numFmtId="44" fontId="3" fillId="4" borderId="46" xfId="1" applyFont="1" applyFill="1" applyBorder="1" applyAlignment="1">
      <alignment horizontal="center" vertical="center" wrapText="1"/>
    </xf>
    <xf numFmtId="0" fontId="0" fillId="0" borderId="42" xfId="0" applyBorder="1" applyAlignment="1">
      <alignment wrapText="1"/>
    </xf>
    <xf numFmtId="0" fontId="0" fillId="0" borderId="35" xfId="0" applyBorder="1" applyAlignment="1">
      <alignment wrapText="1"/>
    </xf>
    <xf numFmtId="44" fontId="19" fillId="0" borderId="0" xfId="1" applyFont="1" applyBorder="1" applyAlignment="1">
      <alignment horizontal="center" vertical="center" wrapText="1"/>
    </xf>
    <xf numFmtId="164" fontId="15" fillId="2" borderId="27" xfId="0" applyNumberFormat="1" applyFont="1" applyFill="1" applyBorder="1" applyAlignment="1">
      <alignment horizontal="center" vertical="center" wrapText="1"/>
    </xf>
    <xf numFmtId="164" fontId="11" fillId="3" borderId="47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4" fontId="19" fillId="0" borderId="13" xfId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 wrapText="1"/>
    </xf>
    <xf numFmtId="44" fontId="11" fillId="3" borderId="1" xfId="0" applyNumberFormat="1" applyFont="1" applyFill="1" applyBorder="1" applyAlignment="1">
      <alignment horizontal="center" vertical="center" wrapText="1"/>
    </xf>
    <xf numFmtId="0" fontId="21" fillId="0" borderId="42" xfId="0" applyFont="1" applyBorder="1" applyAlignment="1">
      <alignment wrapText="1"/>
    </xf>
    <xf numFmtId="0" fontId="21" fillId="0" borderId="35" xfId="0" applyFont="1" applyBorder="1" applyAlignment="1">
      <alignment wrapText="1"/>
    </xf>
    <xf numFmtId="0" fontId="0" fillId="0" borderId="42" xfId="0" applyBorder="1" applyAlignment="1">
      <alignment wrapText="1"/>
    </xf>
    <xf numFmtId="0" fontId="0" fillId="0" borderId="35" xfId="0" applyBorder="1" applyAlignment="1">
      <alignment wrapText="1"/>
    </xf>
    <xf numFmtId="0" fontId="13" fillId="5" borderId="12" xfId="4" applyFont="1" applyFill="1" applyBorder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14" xfId="4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wrapText="1"/>
    </xf>
    <xf numFmtId="0" fontId="0" fillId="4" borderId="0" xfId="0" applyFill="1" applyAlignment="1">
      <alignment horizontal="center"/>
    </xf>
    <xf numFmtId="0" fontId="0" fillId="4" borderId="4" xfId="0" applyFill="1" applyBorder="1" applyAlignment="1">
      <alignment horizontal="center"/>
    </xf>
    <xf numFmtId="0" fontId="7" fillId="4" borderId="2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17" fontId="20" fillId="4" borderId="13" xfId="0" applyNumberFormat="1" applyFont="1" applyFill="1" applyBorder="1" applyAlignment="1">
      <alignment horizontal="left" vertical="center" wrapText="1"/>
    </xf>
    <xf numFmtId="0" fontId="20" fillId="4" borderId="13" xfId="0" applyFont="1" applyFill="1" applyBorder="1" applyAlignment="1">
      <alignment horizontal="left" vertical="center" wrapText="1"/>
    </xf>
    <xf numFmtId="0" fontId="20" fillId="4" borderId="31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3" fillId="4" borderId="3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44" fontId="4" fillId="4" borderId="16" xfId="1" applyFont="1" applyFill="1" applyBorder="1" applyAlignment="1">
      <alignment horizontal="center" vertical="center" wrapText="1"/>
    </xf>
    <xf numFmtId="44" fontId="4" fillId="4" borderId="17" xfId="1" applyFont="1" applyFill="1" applyBorder="1" applyAlignment="1">
      <alignment horizontal="center" vertical="center" wrapText="1"/>
    </xf>
    <xf numFmtId="44" fontId="4" fillId="4" borderId="12" xfId="1" applyFont="1" applyFill="1" applyBorder="1" applyAlignment="1">
      <alignment horizontal="center" vertical="center" wrapText="1"/>
    </xf>
    <xf numFmtId="44" fontId="4" fillId="4" borderId="13" xfId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4" fontId="3" fillId="4" borderId="3" xfId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/>
    </xf>
    <xf numFmtId="44" fontId="4" fillId="4" borderId="29" xfId="1" applyFont="1" applyFill="1" applyBorder="1" applyAlignment="1">
      <alignment horizontal="center" vertical="center" wrapText="1"/>
    </xf>
    <xf numFmtId="44" fontId="4" fillId="4" borderId="3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3" fillId="4" borderId="3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35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11" fillId="5" borderId="12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6" borderId="4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5" fillId="4" borderId="0" xfId="0" applyFont="1" applyFill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</cellXfs>
  <cellStyles count="5">
    <cellStyle name="Moeda" xfId="1" builtinId="4"/>
    <cellStyle name="Normal" xfId="0" builtinId="0"/>
    <cellStyle name="Normal 18 2" xfId="4" xr:uid="{00000000-0005-0000-0000-000002000000}"/>
    <cellStyle name="Normal 2" xfId="3" xr:uid="{00000000-0005-0000-0000-000003000000}"/>
    <cellStyle name="Porcentagem" xfId="2" builtinId="5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2AACA29-2EA8-4A40-88BA-4E8C4EB795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83460BC-FCB8-45E2-B963-36068424C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9A50CAD-4D18-4689-9A2F-705346650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FEAD051-6B57-4CC7-8441-2453A07F7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249E853-3183-4065-97C3-A248D3B31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4FC6E1-34EB-4BFF-A2A4-14A37F90A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DF20C541-71E3-4F6F-AB76-6240DC284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05C58AB-E214-4795-A11C-96463FAFB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01BB814-E5AA-40D1-BAAF-118C58CE8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E885AC5-F3D9-4ADA-AFA5-0ABC446D2C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3619500</xdr:colOff>
      <xdr:row>1</xdr:row>
      <xdr:rowOff>445943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15E1CDEB-1245-4A35-BCB3-767574DA7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87520" cy="606136"/>
        </a:xfrm>
        <a:prstGeom prst="rect">
          <a:avLst/>
        </a:prstGeom>
      </xdr:spPr>
    </xdr:pic>
    <xdr:clientData/>
  </xdr:twoCellAnchor>
  <xdr:twoCellAnchor editAs="oneCell">
    <xdr:from>
      <xdr:col>1</xdr:col>
      <xdr:colOff>3031980</xdr:colOff>
      <xdr:row>0</xdr:row>
      <xdr:rowOff>182707</xdr:rowOff>
    </xdr:from>
    <xdr:to>
      <xdr:col>1</xdr:col>
      <xdr:colOff>3629025</xdr:colOff>
      <xdr:row>1</xdr:row>
      <xdr:rowOff>445943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F7F4A95-5CC2-45C5-8F79-41DE0AEF1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3530" y="182707"/>
          <a:ext cx="597045" cy="606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2"/>
  <sheetViews>
    <sheetView tabSelected="1" zoomScale="130" zoomScaleNormal="130" workbookViewId="0">
      <selection activeCell="H3" sqref="H3"/>
    </sheetView>
  </sheetViews>
  <sheetFormatPr defaultRowHeight="14.5" x14ac:dyDescent="0.35"/>
  <cols>
    <col min="2" max="2" width="5.453125" bestFit="1" customWidth="1"/>
    <col min="3" max="3" width="23.08984375" style="75" bestFit="1" customWidth="1"/>
    <col min="4" max="4" width="8.90625" bestFit="1" customWidth="1"/>
    <col min="5" max="5" width="8.54296875" bestFit="1" customWidth="1"/>
    <col min="6" max="6" width="15.90625" bestFit="1" customWidth="1"/>
    <col min="7" max="7" width="17.90625" bestFit="1" customWidth="1"/>
    <col min="8" max="8" width="23.54296875" bestFit="1" customWidth="1"/>
  </cols>
  <sheetData>
    <row r="2" spans="2:10" ht="26" x14ac:dyDescent="0.35">
      <c r="B2" s="71" t="s">
        <v>122</v>
      </c>
      <c r="C2" s="71" t="s">
        <v>124</v>
      </c>
      <c r="D2" s="71" t="s">
        <v>126</v>
      </c>
      <c r="E2" s="71" t="s">
        <v>125</v>
      </c>
      <c r="F2" s="71" t="s">
        <v>130</v>
      </c>
      <c r="G2" s="71" t="s">
        <v>178</v>
      </c>
      <c r="H2" s="71" t="s">
        <v>132</v>
      </c>
    </row>
    <row r="3" spans="2:10" ht="25" x14ac:dyDescent="0.35">
      <c r="B3" s="114">
        <v>1</v>
      </c>
      <c r="C3" s="115" t="s">
        <v>167</v>
      </c>
      <c r="D3" s="114">
        <v>7</v>
      </c>
      <c r="E3" s="114" t="s">
        <v>149</v>
      </c>
      <c r="F3" s="73">
        <f>' Vigilante Diurno Armado'!D136</f>
        <v>17038.04</v>
      </c>
      <c r="G3" s="73">
        <f>F3*60</f>
        <v>1022282.4</v>
      </c>
      <c r="H3" s="73">
        <f>G3*D3</f>
        <v>7155976.7999999998</v>
      </c>
    </row>
    <row r="4" spans="2:10" ht="25" x14ac:dyDescent="0.35">
      <c r="B4" s="114">
        <v>2</v>
      </c>
      <c r="C4" s="115" t="s">
        <v>168</v>
      </c>
      <c r="D4" s="114">
        <v>8</v>
      </c>
      <c r="E4" s="114" t="s">
        <v>149</v>
      </c>
      <c r="F4" s="73">
        <f>' Vigilante Noturno Armado'!D136</f>
        <v>18611.259999999998</v>
      </c>
      <c r="G4" s="73">
        <f t="shared" ref="G4:G6" si="0">F4*60</f>
        <v>1116675.6000000001</v>
      </c>
      <c r="H4" s="73">
        <f>G4*D4</f>
        <v>8933404.8000000007</v>
      </c>
    </row>
    <row r="5" spans="2:10" ht="25" x14ac:dyDescent="0.35">
      <c r="B5" s="114">
        <v>3</v>
      </c>
      <c r="C5" s="115" t="s">
        <v>165</v>
      </c>
      <c r="D5" s="114">
        <v>3</v>
      </c>
      <c r="E5" s="114" t="s">
        <v>149</v>
      </c>
      <c r="F5" s="73">
        <f>' Vigilante Diurno Desarmado'!D135</f>
        <v>16569.419999999998</v>
      </c>
      <c r="G5" s="73">
        <f t="shared" si="0"/>
        <v>994165.2</v>
      </c>
      <c r="H5" s="73">
        <f>G5*D5</f>
        <v>2982495.6</v>
      </c>
    </row>
    <row r="6" spans="2:10" ht="25" x14ac:dyDescent="0.35">
      <c r="B6" s="114">
        <v>4</v>
      </c>
      <c r="C6" s="115" t="s">
        <v>166</v>
      </c>
      <c r="D6" s="114">
        <v>1</v>
      </c>
      <c r="E6" s="114" t="s">
        <v>149</v>
      </c>
      <c r="F6" s="73">
        <f>' Vigilante Noturno Desarmado'!D135</f>
        <v>18142.64</v>
      </c>
      <c r="G6" s="73">
        <f t="shared" si="0"/>
        <v>1088558.3999999999</v>
      </c>
      <c r="H6" s="73">
        <f>G6*D6</f>
        <v>1088558.3999999999</v>
      </c>
      <c r="J6" t="s">
        <v>123</v>
      </c>
    </row>
    <row r="7" spans="2:10" x14ac:dyDescent="0.35">
      <c r="B7" s="139" t="s">
        <v>123</v>
      </c>
      <c r="C7" s="139"/>
      <c r="D7" s="139"/>
      <c r="E7" s="139"/>
      <c r="F7" s="140"/>
      <c r="G7" s="116" t="s">
        <v>88</v>
      </c>
      <c r="H7" s="117">
        <f>SUM(H3:H6)</f>
        <v>20160435.600000001</v>
      </c>
    </row>
    <row r="9" spans="2:10" x14ac:dyDescent="0.35">
      <c r="B9" s="143" t="s">
        <v>176</v>
      </c>
      <c r="C9" s="144"/>
      <c r="D9" s="144"/>
      <c r="E9" s="144"/>
      <c r="F9" s="144"/>
      <c r="G9" s="144"/>
      <c r="H9" s="145"/>
    </row>
    <row r="10" spans="2:10" ht="26" x14ac:dyDescent="0.35">
      <c r="B10" s="71" t="s">
        <v>122</v>
      </c>
      <c r="C10" s="71" t="s">
        <v>124</v>
      </c>
      <c r="D10" s="71" t="s">
        <v>126</v>
      </c>
      <c r="E10" s="71" t="s">
        <v>125</v>
      </c>
      <c r="F10" s="71" t="s">
        <v>130</v>
      </c>
      <c r="G10" s="71" t="s">
        <v>178</v>
      </c>
      <c r="H10" s="71" t="s">
        <v>132</v>
      </c>
    </row>
    <row r="11" spans="2:10" ht="28" x14ac:dyDescent="0.35">
      <c r="B11" s="72">
        <v>1</v>
      </c>
      <c r="C11" s="74" t="s">
        <v>167</v>
      </c>
      <c r="D11" s="72">
        <v>4</v>
      </c>
      <c r="E11" s="72" t="s">
        <v>149</v>
      </c>
      <c r="F11" s="73">
        <f>' Vigilante Diurno Armado'!D136</f>
        <v>17038.04</v>
      </c>
      <c r="G11" s="73">
        <f t="shared" ref="G11:G12" si="1">F11*60</f>
        <v>1022282.4</v>
      </c>
      <c r="H11" s="73">
        <f>G11*D11</f>
        <v>4089129.6</v>
      </c>
    </row>
    <row r="12" spans="2:10" ht="28" x14ac:dyDescent="0.35">
      <c r="B12" s="72">
        <v>2</v>
      </c>
      <c r="C12" s="74" t="s">
        <v>168</v>
      </c>
      <c r="D12" s="72">
        <v>5</v>
      </c>
      <c r="E12" s="72" t="s">
        <v>149</v>
      </c>
      <c r="F12" s="73">
        <f>' Vigilante Noturno Armado'!D136</f>
        <v>18611.259999999998</v>
      </c>
      <c r="G12" s="73">
        <f t="shared" si="1"/>
        <v>1116675.6000000001</v>
      </c>
      <c r="H12" s="73">
        <f>G12*D12</f>
        <v>5583378</v>
      </c>
    </row>
    <row r="13" spans="2:10" ht="28" x14ac:dyDescent="0.35">
      <c r="B13" s="72">
        <v>3</v>
      </c>
      <c r="C13" s="74" t="s">
        <v>165</v>
      </c>
      <c r="D13" s="72">
        <v>1</v>
      </c>
      <c r="E13" s="72" t="s">
        <v>149</v>
      </c>
      <c r="F13" s="73">
        <f>' Vigilante Diurno Desarmado'!D135</f>
        <v>16569.419999999998</v>
      </c>
      <c r="G13" s="73">
        <f>F13*60</f>
        <v>994165.2</v>
      </c>
      <c r="H13" s="73">
        <f>G13*D13</f>
        <v>994165.2</v>
      </c>
    </row>
    <row r="14" spans="2:10" x14ac:dyDescent="0.35">
      <c r="B14" s="141" t="s">
        <v>123</v>
      </c>
      <c r="C14" s="141"/>
      <c r="D14" s="141"/>
      <c r="E14" s="141"/>
      <c r="F14" s="142"/>
      <c r="G14" s="116" t="s">
        <v>147</v>
      </c>
      <c r="H14" s="117">
        <f>SUM(H11:H13)</f>
        <v>10666672.800000001</v>
      </c>
    </row>
    <row r="16" spans="2:10" x14ac:dyDescent="0.35">
      <c r="B16" s="143" t="s">
        <v>177</v>
      </c>
      <c r="C16" s="144"/>
      <c r="D16" s="144"/>
      <c r="E16" s="144"/>
      <c r="F16" s="144"/>
      <c r="G16" s="144"/>
      <c r="H16" s="145"/>
    </row>
    <row r="17" spans="2:8" ht="26" x14ac:dyDescent="0.35">
      <c r="B17" s="71" t="s">
        <v>122</v>
      </c>
      <c r="C17" s="71" t="s">
        <v>124</v>
      </c>
      <c r="D17" s="71" t="s">
        <v>126</v>
      </c>
      <c r="E17" s="71" t="s">
        <v>125</v>
      </c>
      <c r="F17" s="71" t="s">
        <v>130</v>
      </c>
      <c r="G17" s="71" t="s">
        <v>131</v>
      </c>
      <c r="H17" s="71" t="s">
        <v>132</v>
      </c>
    </row>
    <row r="18" spans="2:8" ht="28" x14ac:dyDescent="0.35">
      <c r="B18" s="72">
        <v>1</v>
      </c>
      <c r="C18" s="74" t="s">
        <v>167</v>
      </c>
      <c r="D18" s="72">
        <v>3</v>
      </c>
      <c r="E18" s="72" t="s">
        <v>149</v>
      </c>
      <c r="F18" s="73">
        <f>' Vigilante Diurno Armado'!D136</f>
        <v>17038.04</v>
      </c>
      <c r="G18" s="73">
        <f>F18*60</f>
        <v>1022282.4</v>
      </c>
      <c r="H18" s="73">
        <f>G18*D18</f>
        <v>3066847.2</v>
      </c>
    </row>
    <row r="19" spans="2:8" ht="28" x14ac:dyDescent="0.35">
      <c r="B19" s="72">
        <v>2</v>
      </c>
      <c r="C19" s="74" t="s">
        <v>168</v>
      </c>
      <c r="D19" s="72">
        <v>3</v>
      </c>
      <c r="E19" s="72" t="s">
        <v>149</v>
      </c>
      <c r="F19" s="73">
        <f>' Vigilante Noturno Armado'!D136</f>
        <v>18611.259999999998</v>
      </c>
      <c r="G19" s="73">
        <f t="shared" ref="G19" si="2">F19*60</f>
        <v>1116675.6000000001</v>
      </c>
      <c r="H19" s="73">
        <f>G19*D19</f>
        <v>3350026.8</v>
      </c>
    </row>
    <row r="20" spans="2:8" ht="28" x14ac:dyDescent="0.35">
      <c r="B20" s="72">
        <v>3</v>
      </c>
      <c r="C20" s="74" t="s">
        <v>165</v>
      </c>
      <c r="D20" s="72">
        <v>2</v>
      </c>
      <c r="E20" s="72" t="s">
        <v>149</v>
      </c>
      <c r="F20" s="73">
        <f>' Vigilante Diurno Desarmado'!D135</f>
        <v>16569.419999999998</v>
      </c>
      <c r="G20" s="73">
        <f>F20*60</f>
        <v>994165.2</v>
      </c>
      <c r="H20" s="73">
        <f>G20*D20</f>
        <v>1988330.4</v>
      </c>
    </row>
    <row r="21" spans="2:8" ht="28" x14ac:dyDescent="0.35">
      <c r="B21" s="72">
        <v>4</v>
      </c>
      <c r="C21" s="74" t="s">
        <v>166</v>
      </c>
      <c r="D21" s="72">
        <v>1</v>
      </c>
      <c r="E21" s="72" t="s">
        <v>149</v>
      </c>
      <c r="F21" s="73">
        <f>' Vigilante Noturno Desarmado'!D135</f>
        <v>18142.64</v>
      </c>
      <c r="G21" s="73">
        <f>F21*60</f>
        <v>1088558.3999999999</v>
      </c>
      <c r="H21" s="73">
        <f>G21*D21</f>
        <v>1088558.3999999999</v>
      </c>
    </row>
    <row r="22" spans="2:8" x14ac:dyDescent="0.35">
      <c r="B22" s="129" t="s">
        <v>123</v>
      </c>
      <c r="C22" s="129"/>
      <c r="D22" s="129"/>
      <c r="E22" s="129"/>
      <c r="F22" s="130"/>
      <c r="G22" s="116" t="s">
        <v>147</v>
      </c>
      <c r="H22" s="117">
        <f>SUM(H18:H21)</f>
        <v>9493762.8000000007</v>
      </c>
    </row>
  </sheetData>
  <mergeCells count="4">
    <mergeCell ref="B7:F7"/>
    <mergeCell ref="B14:F14"/>
    <mergeCell ref="B9:H9"/>
    <mergeCell ref="B16:H16"/>
  </mergeCells>
  <conditionalFormatting sqref="B9">
    <cfRule type="cellIs" dxfId="4" priority="3" operator="equal">
      <formula>"PROCURAR"</formula>
    </cfRule>
  </conditionalFormatting>
  <conditionalFormatting sqref="B16">
    <cfRule type="cellIs" dxfId="3" priority="2" operator="equal">
      <formula>"PROCURAR"</formula>
    </cfRule>
  </conditionalFormatting>
  <conditionalFormatting sqref="B2:H2">
    <cfRule type="cellIs" dxfId="2" priority="6" operator="equal">
      <formula>"PROCURAR"</formula>
    </cfRule>
  </conditionalFormatting>
  <conditionalFormatting sqref="B10:H10">
    <cfRule type="cellIs" dxfId="1" priority="1" operator="equal">
      <formula>"PROCURAR"</formula>
    </cfRule>
  </conditionalFormatting>
  <conditionalFormatting sqref="B17:H17">
    <cfRule type="cellIs" dxfId="0" priority="4" operator="equal">
      <formula>"PROCURAR"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E4356-7A08-4F92-9A4F-07335D2E79E3}">
  <dimension ref="A1:T28"/>
  <sheetViews>
    <sheetView workbookViewId="0">
      <selection activeCell="B11" sqref="B11:C12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24.65" customHeight="1" thickBot="1" x14ac:dyDescent="0.4">
      <c r="A1" s="213" t="s">
        <v>191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170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1</v>
      </c>
      <c r="C6" s="77">
        <v>1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4" si="0">AVERAGE(D6,E6:F6,G6:I6)</f>
        <v>15.67</v>
      </c>
      <c r="K6" s="83">
        <f t="shared" ref="K6:K10" si="1">C6</f>
        <v>1</v>
      </c>
      <c r="L6" s="79">
        <f t="shared" ref="L6:L14" si="2">J6*K6</f>
        <v>15.67</v>
      </c>
      <c r="M6" s="85">
        <v>6</v>
      </c>
      <c r="N6" s="90">
        <f t="shared" ref="N6:N14" si="3">(J6/M6)*K6</f>
        <v>2.61</v>
      </c>
      <c r="O6" s="89"/>
      <c r="P6" s="89"/>
      <c r="Q6" s="89"/>
    </row>
    <row r="7" spans="1:20" x14ac:dyDescent="0.35">
      <c r="A7" s="77" t="s">
        <v>160</v>
      </c>
      <c r="B7" s="77">
        <v>1</v>
      </c>
      <c r="C7" s="77">
        <v>1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1</v>
      </c>
      <c r="L7" s="79">
        <f t="shared" si="2"/>
        <v>41.56</v>
      </c>
      <c r="M7" s="85">
        <v>36</v>
      </c>
      <c r="N7" s="90">
        <f t="shared" si="3"/>
        <v>1.1499999999999999</v>
      </c>
    </row>
    <row r="8" spans="1:20" x14ac:dyDescent="0.35">
      <c r="A8" s="77" t="s">
        <v>153</v>
      </c>
      <c r="B8" s="77">
        <v>1</v>
      </c>
      <c r="C8" s="77">
        <v>1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1</v>
      </c>
      <c r="L8" s="79">
        <f t="shared" si="2"/>
        <v>83</v>
      </c>
      <c r="M8" s="85">
        <v>30</v>
      </c>
      <c r="N8" s="90">
        <f t="shared" si="3"/>
        <v>2.77</v>
      </c>
    </row>
    <row r="9" spans="1:20" x14ac:dyDescent="0.35">
      <c r="A9" s="77" t="s">
        <v>152</v>
      </c>
      <c r="B9" s="77">
        <v>1</v>
      </c>
      <c r="C9" s="77">
        <v>1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1</v>
      </c>
      <c r="L9" s="79">
        <f t="shared" si="2"/>
        <v>790.43</v>
      </c>
      <c r="M9" s="85">
        <v>36</v>
      </c>
      <c r="N9" s="90">
        <f t="shared" si="3"/>
        <v>21.96</v>
      </c>
    </row>
    <row r="10" spans="1:20" x14ac:dyDescent="0.35">
      <c r="A10" s="77" t="s">
        <v>171</v>
      </c>
      <c r="B10" s="77">
        <v>1</v>
      </c>
      <c r="C10" s="77">
        <v>1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1</v>
      </c>
      <c r="L10" s="79">
        <f t="shared" si="2"/>
        <v>795.01</v>
      </c>
      <c r="M10" s="112">
        <v>40</v>
      </c>
      <c r="N10" s="90">
        <f t="shared" si="3"/>
        <v>19.88</v>
      </c>
    </row>
    <row r="11" spans="1:20" x14ac:dyDescent="0.35">
      <c r="A11" s="77" t="s">
        <v>157</v>
      </c>
      <c r="B11" s="77">
        <v>1</v>
      </c>
      <c r="C11" s="77">
        <v>1</v>
      </c>
      <c r="D11" s="100">
        <v>12834.86</v>
      </c>
      <c r="E11" s="100"/>
      <c r="F11" s="124">
        <v>11436.5</v>
      </c>
      <c r="G11" s="123">
        <v>12419.6</v>
      </c>
      <c r="H11" s="123">
        <v>12384.86</v>
      </c>
      <c r="I11" s="123">
        <v>13796.72</v>
      </c>
      <c r="J11" s="80">
        <f t="shared" si="0"/>
        <v>12574.51</v>
      </c>
      <c r="K11" s="83">
        <v>1</v>
      </c>
      <c r="L11" s="79">
        <f t="shared" si="2"/>
        <v>12574.51</v>
      </c>
      <c r="M11" s="85">
        <v>37</v>
      </c>
      <c r="N11" s="90">
        <f t="shared" si="3"/>
        <v>339.85</v>
      </c>
    </row>
    <row r="12" spans="1:20" x14ac:dyDescent="0.35">
      <c r="A12" s="77" t="s">
        <v>184</v>
      </c>
      <c r="B12" s="77">
        <v>1</v>
      </c>
      <c r="C12" s="77">
        <v>1</v>
      </c>
      <c r="D12" s="100">
        <v>1520</v>
      </c>
      <c r="E12" s="100"/>
      <c r="F12" s="78">
        <v>1215</v>
      </c>
      <c r="G12" s="100">
        <v>1300</v>
      </c>
      <c r="H12" s="100">
        <v>1430</v>
      </c>
      <c r="I12" s="100">
        <v>1430</v>
      </c>
      <c r="J12" s="80">
        <f t="shared" si="0"/>
        <v>1379</v>
      </c>
      <c r="K12" s="83">
        <v>1</v>
      </c>
      <c r="L12" s="79">
        <f t="shared" si="2"/>
        <v>1379</v>
      </c>
      <c r="M12" s="85">
        <v>40</v>
      </c>
      <c r="N12" s="90">
        <f t="shared" si="3"/>
        <v>34.479999999999997</v>
      </c>
    </row>
    <row r="13" spans="1:20" x14ac:dyDescent="0.35">
      <c r="A13" s="77" t="s">
        <v>174</v>
      </c>
      <c r="B13" s="77">
        <v>6</v>
      </c>
      <c r="C13" s="77">
        <v>6</v>
      </c>
      <c r="D13" s="100">
        <v>6.44</v>
      </c>
      <c r="E13" s="100"/>
      <c r="F13" s="119">
        <v>0.79</v>
      </c>
      <c r="G13" s="118">
        <v>0.79</v>
      </c>
      <c r="H13" s="118">
        <v>4.08</v>
      </c>
      <c r="I13" s="118">
        <v>4.46</v>
      </c>
      <c r="J13" s="80">
        <f t="shared" si="0"/>
        <v>3.31</v>
      </c>
      <c r="K13" s="83">
        <v>6</v>
      </c>
      <c r="L13" s="79">
        <f t="shared" si="2"/>
        <v>19.86</v>
      </c>
      <c r="M13" s="85">
        <v>39</v>
      </c>
      <c r="N13" s="90">
        <f t="shared" si="3"/>
        <v>0.51</v>
      </c>
    </row>
    <row r="14" spans="1:20" ht="43.5" x14ac:dyDescent="0.35">
      <c r="A14" s="77" t="s">
        <v>173</v>
      </c>
      <c r="B14" s="77">
        <v>1</v>
      </c>
      <c r="C14" s="77">
        <v>1</v>
      </c>
      <c r="D14" s="100">
        <v>2624</v>
      </c>
      <c r="E14" s="122"/>
      <c r="F14" s="121">
        <v>160</v>
      </c>
      <c r="G14" s="121">
        <v>195</v>
      </c>
      <c r="H14" s="121">
        <v>288.25</v>
      </c>
      <c r="I14" s="121">
        <v>419.9</v>
      </c>
      <c r="J14" s="120">
        <f t="shared" si="0"/>
        <v>737.43</v>
      </c>
      <c r="K14" s="83">
        <v>1</v>
      </c>
      <c r="L14" s="79">
        <f t="shared" si="2"/>
        <v>737.43</v>
      </c>
      <c r="M14" s="85">
        <v>38</v>
      </c>
      <c r="N14" s="113">
        <f t="shared" si="3"/>
        <v>19.41</v>
      </c>
    </row>
    <row r="15" spans="1:20" s="92" customFormat="1" ht="15.75" customHeight="1" x14ac:dyDescent="0.35">
      <c r="A15" s="98"/>
      <c r="B15" s="98"/>
      <c r="C15" s="98"/>
      <c r="D15" s="98"/>
      <c r="E15" s="98"/>
      <c r="F15" s="91"/>
      <c r="G15" s="91"/>
      <c r="H15" s="91"/>
      <c r="I15" s="91"/>
      <c r="J15" s="109" t="s">
        <v>145</v>
      </c>
      <c r="K15" s="110"/>
      <c r="L15" s="110"/>
      <c r="M15" s="111"/>
      <c r="N15" s="93">
        <f>SUM(N6:N14)/2</f>
        <v>221.31</v>
      </c>
    </row>
    <row r="16" spans="1:20" ht="39.75" customHeight="1" x14ac:dyDescent="0.35">
      <c r="A16" s="203" t="s">
        <v>154</v>
      </c>
      <c r="B16" s="204"/>
      <c r="C16" s="204"/>
      <c r="D16" s="204"/>
      <c r="E16" s="204"/>
      <c r="F16" s="205"/>
      <c r="G16" s="99"/>
      <c r="J16" s="97" t="s">
        <v>146</v>
      </c>
      <c r="K16" s="97"/>
      <c r="L16" s="97"/>
      <c r="M16" s="97"/>
      <c r="N16" s="94">
        <f>N15/2</f>
        <v>110.66</v>
      </c>
    </row>
    <row r="20" spans="1:14" ht="18.75" customHeight="1" x14ac:dyDescent="0.45">
      <c r="A20" s="206" t="s">
        <v>192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</row>
    <row r="21" spans="1:14" ht="29" x14ac:dyDescent="0.35">
      <c r="A21" s="209" t="s">
        <v>127</v>
      </c>
      <c r="B21" s="82" t="s">
        <v>136</v>
      </c>
      <c r="C21" s="82" t="s">
        <v>137</v>
      </c>
      <c r="D21" s="82" t="s">
        <v>155</v>
      </c>
      <c r="E21" s="82" t="s">
        <v>175</v>
      </c>
      <c r="F21" s="82"/>
      <c r="G21" s="82"/>
      <c r="H21" s="82"/>
      <c r="I21" s="82"/>
      <c r="J21" s="83" t="s">
        <v>142</v>
      </c>
      <c r="K21" s="210" t="s">
        <v>129</v>
      </c>
      <c r="L21" s="210" t="s">
        <v>133</v>
      </c>
      <c r="M21" s="210" t="s">
        <v>143</v>
      </c>
      <c r="N21" s="212" t="s">
        <v>144</v>
      </c>
    </row>
    <row r="22" spans="1:14" x14ac:dyDescent="0.35">
      <c r="A22" s="209"/>
      <c r="B22" s="82"/>
      <c r="C22" s="82"/>
      <c r="D22" s="82" t="s">
        <v>128</v>
      </c>
      <c r="E22" s="82" t="s">
        <v>128</v>
      </c>
      <c r="F22" s="82" t="s">
        <v>128</v>
      </c>
      <c r="G22" s="82" t="s">
        <v>128</v>
      </c>
      <c r="H22" s="82" t="s">
        <v>128</v>
      </c>
      <c r="I22" s="82" t="s">
        <v>128</v>
      </c>
      <c r="J22" s="83" t="s">
        <v>128</v>
      </c>
      <c r="K22" s="211"/>
      <c r="L22" s="211"/>
      <c r="M22" s="211"/>
      <c r="N22" s="212"/>
    </row>
    <row r="23" spans="1:14" x14ac:dyDescent="0.35">
      <c r="A23" s="77" t="s">
        <v>185</v>
      </c>
      <c r="B23" s="77">
        <v>2</v>
      </c>
      <c r="C23" s="77">
        <v>2</v>
      </c>
      <c r="D23" s="100">
        <v>1797.5</v>
      </c>
      <c r="E23" s="100"/>
      <c r="F23" s="78">
        <v>40</v>
      </c>
      <c r="G23" s="100">
        <v>225</v>
      </c>
      <c r="H23" s="100">
        <v>330</v>
      </c>
      <c r="I23" s="100">
        <v>384.94</v>
      </c>
      <c r="J23" s="80">
        <f t="shared" ref="J23:J26" si="4">AVERAGE(D23,E23:F23,G23:I23)</f>
        <v>555.49</v>
      </c>
      <c r="K23" s="83">
        <v>2</v>
      </c>
      <c r="L23" s="79">
        <f t="shared" ref="L23:L26" si="5">J23*K23</f>
        <v>1110.98</v>
      </c>
      <c r="M23" s="85">
        <v>40</v>
      </c>
      <c r="N23" s="90">
        <f t="shared" ref="N23:N26" si="6">(J23/M23)*K23</f>
        <v>27.77</v>
      </c>
    </row>
    <row r="24" spans="1:14" x14ac:dyDescent="0.35">
      <c r="A24" s="77" t="s">
        <v>151</v>
      </c>
      <c r="B24" s="77">
        <v>4</v>
      </c>
      <c r="C24" s="77">
        <v>4</v>
      </c>
      <c r="D24" s="78">
        <v>25.35</v>
      </c>
      <c r="E24" s="78"/>
      <c r="F24" s="78">
        <v>10</v>
      </c>
      <c r="G24" s="78">
        <v>22.8</v>
      </c>
      <c r="H24" s="78">
        <v>27.9</v>
      </c>
      <c r="I24" s="78">
        <v>29.9</v>
      </c>
      <c r="J24" s="80">
        <f t="shared" si="4"/>
        <v>23.19</v>
      </c>
      <c r="K24" s="83">
        <f t="shared" ref="K24:K25" si="7">C24</f>
        <v>4</v>
      </c>
      <c r="L24" s="79">
        <f t="shared" si="5"/>
        <v>92.76</v>
      </c>
      <c r="M24" s="108">
        <v>30</v>
      </c>
      <c r="N24" s="90">
        <f t="shared" si="6"/>
        <v>3.09</v>
      </c>
    </row>
    <row r="25" spans="1:14" ht="29" x14ac:dyDescent="0.35">
      <c r="A25" s="77" t="s">
        <v>172</v>
      </c>
      <c r="B25" s="77">
        <v>4</v>
      </c>
      <c r="C25" s="77">
        <v>4</v>
      </c>
      <c r="D25" s="78">
        <v>12.99</v>
      </c>
      <c r="E25" s="78"/>
      <c r="F25" s="78">
        <v>6.9</v>
      </c>
      <c r="G25" s="78">
        <v>7</v>
      </c>
      <c r="H25" s="78">
        <v>8</v>
      </c>
      <c r="I25" s="107">
        <v>17.97</v>
      </c>
      <c r="J25" s="80">
        <f t="shared" si="4"/>
        <v>10.57</v>
      </c>
      <c r="K25" s="83">
        <f t="shared" si="7"/>
        <v>4</v>
      </c>
      <c r="L25" s="79">
        <f t="shared" si="5"/>
        <v>42.28</v>
      </c>
      <c r="M25" s="112">
        <v>24</v>
      </c>
      <c r="N25" s="90">
        <f t="shared" si="6"/>
        <v>1.76</v>
      </c>
    </row>
    <row r="26" spans="1:14" ht="58" x14ac:dyDescent="0.35">
      <c r="A26" s="77" t="s">
        <v>158</v>
      </c>
      <c r="B26" s="77">
        <v>4</v>
      </c>
      <c r="C26" s="77">
        <v>4</v>
      </c>
      <c r="D26" s="100">
        <v>110</v>
      </c>
      <c r="E26" s="100">
        <v>316.14999999999998</v>
      </c>
      <c r="F26" s="78">
        <v>48.07</v>
      </c>
      <c r="G26" s="100">
        <v>80</v>
      </c>
      <c r="H26" s="100">
        <v>80</v>
      </c>
      <c r="I26" s="100">
        <v>80</v>
      </c>
      <c r="J26" s="80">
        <f t="shared" si="4"/>
        <v>119.04</v>
      </c>
      <c r="K26" s="83">
        <v>4</v>
      </c>
      <c r="L26" s="79">
        <f t="shared" si="5"/>
        <v>476.16</v>
      </c>
      <c r="M26" s="85">
        <v>41</v>
      </c>
      <c r="N26" s="113">
        <f t="shared" si="6"/>
        <v>11.61</v>
      </c>
    </row>
    <row r="27" spans="1:14" ht="15.5" x14ac:dyDescent="0.35">
      <c r="A27" s="134"/>
      <c r="B27" s="135"/>
      <c r="C27" s="135"/>
      <c r="D27" s="136"/>
      <c r="E27" s="136"/>
      <c r="F27" s="137"/>
      <c r="G27" s="131"/>
      <c r="H27" s="131"/>
      <c r="I27" s="131"/>
      <c r="J27" s="109" t="s">
        <v>145</v>
      </c>
      <c r="K27" s="83"/>
      <c r="L27" s="79"/>
      <c r="M27" s="85"/>
      <c r="N27" s="113">
        <f>SUM(N23:N26)/2</f>
        <v>22.12</v>
      </c>
    </row>
    <row r="28" spans="1:14" ht="45" customHeight="1" x14ac:dyDescent="0.35">
      <c r="A28" s="203" t="s">
        <v>154</v>
      </c>
      <c r="B28" s="204"/>
      <c r="C28" s="204"/>
      <c r="D28" s="204"/>
      <c r="E28" s="204"/>
      <c r="F28" s="205"/>
      <c r="G28" s="99"/>
      <c r="J28" s="97" t="s">
        <v>146</v>
      </c>
      <c r="K28" s="97"/>
      <c r="L28" s="97"/>
      <c r="M28" s="97"/>
      <c r="N28" s="94">
        <f>N27/2</f>
        <v>11.06</v>
      </c>
    </row>
  </sheetData>
  <mergeCells count="15">
    <mergeCell ref="A1:N1"/>
    <mergeCell ref="A3:N3"/>
    <mergeCell ref="A28:F28"/>
    <mergeCell ref="A4:A5"/>
    <mergeCell ref="K4:K5"/>
    <mergeCell ref="L4:L5"/>
    <mergeCell ref="M4:M5"/>
    <mergeCell ref="N4:N5"/>
    <mergeCell ref="A16:F16"/>
    <mergeCell ref="A20:N20"/>
    <mergeCell ref="A21:A22"/>
    <mergeCell ref="K21:K22"/>
    <mergeCell ref="L21:L22"/>
    <mergeCell ref="M21:M22"/>
    <mergeCell ref="N21:N2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3644-777E-4347-BE80-FEA8DAC0F663}">
  <dimension ref="A1:T28"/>
  <sheetViews>
    <sheetView topLeftCell="A3" workbookViewId="0">
      <selection activeCell="N29" sqref="N29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28.75" customHeight="1" thickBot="1" x14ac:dyDescent="0.4">
      <c r="A1" s="213" t="s">
        <v>195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170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1</v>
      </c>
      <c r="C6" s="77">
        <v>1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4" si="0">AVERAGE(D6,E6:F6,G6:I6)</f>
        <v>15.67</v>
      </c>
      <c r="K6" s="83">
        <f t="shared" ref="K6:K10" si="1">C6</f>
        <v>1</v>
      </c>
      <c r="L6" s="79">
        <f t="shared" ref="L6:L14" si="2">J6*K6</f>
        <v>15.67</v>
      </c>
      <c r="M6" s="85">
        <v>6</v>
      </c>
      <c r="N6" s="90">
        <f t="shared" ref="N6:N14" si="3">(J6/M6)*K6</f>
        <v>2.61</v>
      </c>
      <c r="O6" s="89"/>
      <c r="P6" s="89"/>
      <c r="Q6" s="89"/>
    </row>
    <row r="7" spans="1:20" x14ac:dyDescent="0.35">
      <c r="A7" s="77" t="s">
        <v>160</v>
      </c>
      <c r="B7" s="77">
        <v>2</v>
      </c>
      <c r="C7" s="77">
        <v>2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2</v>
      </c>
      <c r="L7" s="79">
        <f t="shared" si="2"/>
        <v>83.12</v>
      </c>
      <c r="M7" s="85">
        <v>36</v>
      </c>
      <c r="N7" s="90">
        <f t="shared" si="3"/>
        <v>2.31</v>
      </c>
    </row>
    <row r="8" spans="1:20" x14ac:dyDescent="0.35">
      <c r="A8" s="77" t="s">
        <v>153</v>
      </c>
      <c r="B8" s="77">
        <v>2</v>
      </c>
      <c r="C8" s="77">
        <v>2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2</v>
      </c>
      <c r="L8" s="79">
        <f t="shared" si="2"/>
        <v>166</v>
      </c>
      <c r="M8" s="85">
        <v>30</v>
      </c>
      <c r="N8" s="90">
        <f t="shared" si="3"/>
        <v>5.53</v>
      </c>
    </row>
    <row r="9" spans="1:20" x14ac:dyDescent="0.35">
      <c r="A9" s="77" t="s">
        <v>152</v>
      </c>
      <c r="B9" s="77">
        <v>2</v>
      </c>
      <c r="C9" s="77">
        <v>2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2</v>
      </c>
      <c r="L9" s="79">
        <f t="shared" si="2"/>
        <v>1580.86</v>
      </c>
      <c r="M9" s="85">
        <v>36</v>
      </c>
      <c r="N9" s="90">
        <f t="shared" si="3"/>
        <v>43.91</v>
      </c>
    </row>
    <row r="10" spans="1:20" x14ac:dyDescent="0.35">
      <c r="A10" s="77" t="s">
        <v>171</v>
      </c>
      <c r="B10" s="77">
        <v>1</v>
      </c>
      <c r="C10" s="77">
        <v>1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1</v>
      </c>
      <c r="L10" s="79">
        <f t="shared" si="2"/>
        <v>795.01</v>
      </c>
      <c r="M10" s="112">
        <v>40</v>
      </c>
      <c r="N10" s="90">
        <f t="shared" si="3"/>
        <v>19.88</v>
      </c>
    </row>
    <row r="11" spans="1:20" x14ac:dyDescent="0.35">
      <c r="A11" s="77" t="s">
        <v>157</v>
      </c>
      <c r="B11" s="77">
        <v>0</v>
      </c>
      <c r="C11" s="77">
        <v>0</v>
      </c>
      <c r="D11" s="100">
        <v>12834.86</v>
      </c>
      <c r="E11" s="100"/>
      <c r="F11" s="124">
        <v>11436.5</v>
      </c>
      <c r="G11" s="123">
        <v>12419.6</v>
      </c>
      <c r="H11" s="123">
        <v>12384.86</v>
      </c>
      <c r="I11" s="123">
        <v>13796.72</v>
      </c>
      <c r="J11" s="80">
        <f t="shared" si="0"/>
        <v>12574.51</v>
      </c>
      <c r="K11" s="83">
        <v>0</v>
      </c>
      <c r="L11" s="79">
        <f t="shared" si="2"/>
        <v>0</v>
      </c>
      <c r="M11" s="85">
        <v>37</v>
      </c>
      <c r="N11" s="90">
        <f t="shared" si="3"/>
        <v>0</v>
      </c>
    </row>
    <row r="12" spans="1:20" x14ac:dyDescent="0.35">
      <c r="A12" s="77" t="s">
        <v>184</v>
      </c>
      <c r="B12" s="77">
        <v>0</v>
      </c>
      <c r="C12" s="77">
        <v>0</v>
      </c>
      <c r="D12" s="100">
        <v>1520</v>
      </c>
      <c r="E12" s="100"/>
      <c r="F12" s="78">
        <v>1215</v>
      </c>
      <c r="G12" s="100">
        <v>1300</v>
      </c>
      <c r="H12" s="100">
        <v>1430</v>
      </c>
      <c r="I12" s="100">
        <v>1430</v>
      </c>
      <c r="J12" s="80">
        <f t="shared" si="0"/>
        <v>1379</v>
      </c>
      <c r="K12" s="83">
        <v>0</v>
      </c>
      <c r="L12" s="79">
        <f t="shared" si="2"/>
        <v>0</v>
      </c>
      <c r="M12" s="85">
        <v>40</v>
      </c>
      <c r="N12" s="90">
        <f t="shared" si="3"/>
        <v>0</v>
      </c>
    </row>
    <row r="13" spans="1:20" x14ac:dyDescent="0.35">
      <c r="A13" s="77" t="s">
        <v>174</v>
      </c>
      <c r="B13" s="77">
        <v>0</v>
      </c>
      <c r="C13" s="77">
        <v>0</v>
      </c>
      <c r="D13" s="100">
        <v>6.44</v>
      </c>
      <c r="E13" s="100"/>
      <c r="F13" s="119">
        <v>0.79</v>
      </c>
      <c r="G13" s="118">
        <v>0.79</v>
      </c>
      <c r="H13" s="118">
        <v>4.08</v>
      </c>
      <c r="I13" s="118">
        <v>4.46</v>
      </c>
      <c r="J13" s="80">
        <f t="shared" si="0"/>
        <v>3.31</v>
      </c>
      <c r="K13" s="83">
        <v>0</v>
      </c>
      <c r="L13" s="79">
        <f t="shared" si="2"/>
        <v>0</v>
      </c>
      <c r="M13" s="85">
        <v>39</v>
      </c>
      <c r="N13" s="90">
        <f t="shared" si="3"/>
        <v>0</v>
      </c>
    </row>
    <row r="14" spans="1:20" ht="43.5" x14ac:dyDescent="0.35">
      <c r="A14" s="77" t="s">
        <v>173</v>
      </c>
      <c r="B14" s="77">
        <v>0</v>
      </c>
      <c r="C14" s="77">
        <v>0</v>
      </c>
      <c r="D14" s="100">
        <v>2624</v>
      </c>
      <c r="E14" s="122"/>
      <c r="F14" s="121">
        <v>160</v>
      </c>
      <c r="G14" s="121">
        <v>195</v>
      </c>
      <c r="H14" s="121">
        <v>288.25</v>
      </c>
      <c r="I14" s="121">
        <v>419.9</v>
      </c>
      <c r="J14" s="120">
        <f t="shared" si="0"/>
        <v>737.43</v>
      </c>
      <c r="K14" s="83">
        <v>0</v>
      </c>
      <c r="L14" s="79">
        <f t="shared" si="2"/>
        <v>0</v>
      </c>
      <c r="M14" s="85">
        <v>38</v>
      </c>
      <c r="N14" s="113">
        <f t="shared" si="3"/>
        <v>0</v>
      </c>
    </row>
    <row r="15" spans="1:20" s="92" customFormat="1" ht="15.75" customHeight="1" x14ac:dyDescent="0.35">
      <c r="A15" s="98"/>
      <c r="B15" s="98"/>
      <c r="C15" s="98"/>
      <c r="D15" s="98"/>
      <c r="E15" s="98"/>
      <c r="F15" s="91"/>
      <c r="G15" s="91"/>
      <c r="H15" s="91"/>
      <c r="I15" s="91"/>
      <c r="J15" s="109" t="s">
        <v>145</v>
      </c>
      <c r="K15" s="110"/>
      <c r="L15" s="110"/>
      <c r="M15" s="111"/>
      <c r="N15" s="93">
        <f>SUM(N6:N14)/3</f>
        <v>24.75</v>
      </c>
    </row>
    <row r="16" spans="1:20" ht="39.75" customHeight="1" x14ac:dyDescent="0.35">
      <c r="A16" s="203" t="s">
        <v>154</v>
      </c>
      <c r="B16" s="204"/>
      <c r="C16" s="204"/>
      <c r="D16" s="204"/>
      <c r="E16" s="204"/>
      <c r="F16" s="205"/>
      <c r="G16" s="99"/>
      <c r="J16" s="97" t="s">
        <v>146</v>
      </c>
      <c r="K16" s="97"/>
      <c r="L16" s="97"/>
      <c r="M16" s="97"/>
      <c r="N16" s="94">
        <f>N15/2</f>
        <v>12.38</v>
      </c>
    </row>
    <row r="20" spans="1:14" ht="18.75" customHeight="1" x14ac:dyDescent="0.45">
      <c r="A20" s="206" t="s">
        <v>193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</row>
    <row r="21" spans="1:14" ht="29" x14ac:dyDescent="0.35">
      <c r="A21" s="209" t="s">
        <v>127</v>
      </c>
      <c r="B21" s="82" t="s">
        <v>136</v>
      </c>
      <c r="C21" s="82" t="s">
        <v>137</v>
      </c>
      <c r="D21" s="82" t="s">
        <v>155</v>
      </c>
      <c r="E21" s="82" t="s">
        <v>175</v>
      </c>
      <c r="F21" s="82"/>
      <c r="G21" s="82"/>
      <c r="H21" s="82"/>
      <c r="I21" s="82"/>
      <c r="J21" s="83" t="s">
        <v>142</v>
      </c>
      <c r="K21" s="210" t="s">
        <v>129</v>
      </c>
      <c r="L21" s="210" t="s">
        <v>133</v>
      </c>
      <c r="M21" s="210" t="s">
        <v>143</v>
      </c>
      <c r="N21" s="212" t="s">
        <v>144</v>
      </c>
    </row>
    <row r="22" spans="1:14" x14ac:dyDescent="0.35">
      <c r="A22" s="209"/>
      <c r="B22" s="82"/>
      <c r="C22" s="82"/>
      <c r="D22" s="82" t="s">
        <v>128</v>
      </c>
      <c r="E22" s="82" t="s">
        <v>128</v>
      </c>
      <c r="F22" s="82" t="s">
        <v>128</v>
      </c>
      <c r="G22" s="82" t="s">
        <v>128</v>
      </c>
      <c r="H22" s="82" t="s">
        <v>128</v>
      </c>
      <c r="I22" s="82" t="s">
        <v>128</v>
      </c>
      <c r="J22" s="83" t="s">
        <v>128</v>
      </c>
      <c r="K22" s="211"/>
      <c r="L22" s="211"/>
      <c r="M22" s="211"/>
      <c r="N22" s="212"/>
    </row>
    <row r="23" spans="1:14" x14ac:dyDescent="0.35">
      <c r="A23" s="77" t="s">
        <v>185</v>
      </c>
      <c r="B23" s="77">
        <v>0</v>
      </c>
      <c r="C23" s="77">
        <v>0</v>
      </c>
      <c r="D23" s="100">
        <v>1797.5</v>
      </c>
      <c r="E23" s="100"/>
      <c r="F23" s="78">
        <v>40</v>
      </c>
      <c r="G23" s="100">
        <v>225</v>
      </c>
      <c r="H23" s="100">
        <v>330</v>
      </c>
      <c r="I23" s="100">
        <v>384.94</v>
      </c>
      <c r="J23" s="80">
        <f t="shared" ref="J23:J26" si="4">AVERAGE(D23,E23:F23,G23:I23)</f>
        <v>555.49</v>
      </c>
      <c r="K23" s="83">
        <v>0</v>
      </c>
      <c r="L23" s="79">
        <f t="shared" ref="L23:L26" si="5">J23*K23</f>
        <v>0</v>
      </c>
      <c r="M23" s="85">
        <v>40</v>
      </c>
      <c r="N23" s="90">
        <f t="shared" ref="N23:N26" si="6">(J23/M23)*K23</f>
        <v>0</v>
      </c>
    </row>
    <row r="24" spans="1:14" x14ac:dyDescent="0.35">
      <c r="A24" s="77" t="s">
        <v>151</v>
      </c>
      <c r="B24" s="77">
        <v>6</v>
      </c>
      <c r="C24" s="77">
        <v>6</v>
      </c>
      <c r="D24" s="78">
        <v>25.35</v>
      </c>
      <c r="E24" s="78"/>
      <c r="F24" s="78">
        <v>10</v>
      </c>
      <c r="G24" s="78">
        <v>22.8</v>
      </c>
      <c r="H24" s="78">
        <v>27.9</v>
      </c>
      <c r="I24" s="78">
        <v>29.9</v>
      </c>
      <c r="J24" s="80">
        <f t="shared" si="4"/>
        <v>23.19</v>
      </c>
      <c r="K24" s="83">
        <f t="shared" ref="K24:K25" si="7">C24</f>
        <v>6</v>
      </c>
      <c r="L24" s="79">
        <f t="shared" si="5"/>
        <v>139.13999999999999</v>
      </c>
      <c r="M24" s="108">
        <v>30</v>
      </c>
      <c r="N24" s="90">
        <f t="shared" si="6"/>
        <v>4.6399999999999997</v>
      </c>
    </row>
    <row r="25" spans="1:14" ht="29" x14ac:dyDescent="0.35">
      <c r="A25" s="77" t="s">
        <v>172</v>
      </c>
      <c r="B25" s="77">
        <v>6</v>
      </c>
      <c r="C25" s="77">
        <v>6</v>
      </c>
      <c r="D25" s="78">
        <v>12.99</v>
      </c>
      <c r="E25" s="78"/>
      <c r="F25" s="78">
        <v>6.9</v>
      </c>
      <c r="G25" s="78">
        <v>7</v>
      </c>
      <c r="H25" s="78">
        <v>8</v>
      </c>
      <c r="I25" s="107">
        <v>17.97</v>
      </c>
      <c r="J25" s="80">
        <f t="shared" si="4"/>
        <v>10.57</v>
      </c>
      <c r="K25" s="83">
        <f t="shared" si="7"/>
        <v>6</v>
      </c>
      <c r="L25" s="79">
        <f t="shared" si="5"/>
        <v>63.42</v>
      </c>
      <c r="M25" s="112">
        <v>24</v>
      </c>
      <c r="N25" s="90">
        <f t="shared" si="6"/>
        <v>2.64</v>
      </c>
    </row>
    <row r="26" spans="1:14" ht="58" x14ac:dyDescent="0.35">
      <c r="A26" s="77" t="s">
        <v>158</v>
      </c>
      <c r="B26" s="77">
        <v>6</v>
      </c>
      <c r="C26" s="77">
        <v>6</v>
      </c>
      <c r="D26" s="100">
        <v>110</v>
      </c>
      <c r="E26" s="100">
        <v>316.14999999999998</v>
      </c>
      <c r="F26" s="78">
        <v>48.07</v>
      </c>
      <c r="G26" s="100">
        <v>80</v>
      </c>
      <c r="H26" s="100">
        <v>80</v>
      </c>
      <c r="I26" s="100">
        <v>80</v>
      </c>
      <c r="J26" s="80">
        <f t="shared" si="4"/>
        <v>119.04</v>
      </c>
      <c r="K26" s="83">
        <v>6</v>
      </c>
      <c r="L26" s="79">
        <f t="shared" si="5"/>
        <v>714.24</v>
      </c>
      <c r="M26" s="85">
        <v>41</v>
      </c>
      <c r="N26" s="113">
        <f t="shared" si="6"/>
        <v>17.420000000000002</v>
      </c>
    </row>
    <row r="27" spans="1:14" ht="15.5" x14ac:dyDescent="0.35">
      <c r="A27" s="134"/>
      <c r="B27" s="135"/>
      <c r="C27" s="135"/>
      <c r="D27" s="136"/>
      <c r="E27" s="136"/>
      <c r="F27" s="137"/>
      <c r="G27" s="131"/>
      <c r="H27" s="131"/>
      <c r="I27" s="131"/>
      <c r="J27" s="109" t="s">
        <v>145</v>
      </c>
      <c r="K27" s="83"/>
      <c r="L27" s="79"/>
      <c r="M27" s="85"/>
      <c r="N27" s="113">
        <f>SUM(N23:N26)/3</f>
        <v>8.23</v>
      </c>
    </row>
    <row r="28" spans="1:14" ht="45" customHeight="1" x14ac:dyDescent="0.35">
      <c r="A28" s="203" t="s">
        <v>154</v>
      </c>
      <c r="B28" s="204"/>
      <c r="C28" s="204"/>
      <c r="D28" s="204"/>
      <c r="E28" s="204"/>
      <c r="F28" s="205"/>
      <c r="G28" s="99"/>
      <c r="J28" s="97" t="s">
        <v>146</v>
      </c>
      <c r="K28" s="97"/>
      <c r="L28" s="97"/>
      <c r="M28" s="97"/>
      <c r="N28" s="94">
        <f>N27/2</f>
        <v>4.12</v>
      </c>
    </row>
  </sheetData>
  <mergeCells count="15">
    <mergeCell ref="A16:F16"/>
    <mergeCell ref="A28:F28"/>
    <mergeCell ref="A1:N1"/>
    <mergeCell ref="A3:N3"/>
    <mergeCell ref="A4:A5"/>
    <mergeCell ref="K4:K5"/>
    <mergeCell ref="L4:L5"/>
    <mergeCell ref="M4:M5"/>
    <mergeCell ref="N4:N5"/>
    <mergeCell ref="A20:N20"/>
    <mergeCell ref="A21:A22"/>
    <mergeCell ref="K21:K22"/>
    <mergeCell ref="L21:L22"/>
    <mergeCell ref="M21:M22"/>
    <mergeCell ref="N21:N2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03618-2569-452B-BF3A-D05B434EBC4D}">
  <dimension ref="A1:T28"/>
  <sheetViews>
    <sheetView workbookViewId="0">
      <selection activeCell="B11" sqref="B11:C11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25.75" customHeight="1" thickBot="1" x14ac:dyDescent="0.4">
      <c r="A1" s="213" t="s">
        <v>194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196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1</v>
      </c>
      <c r="C6" s="77">
        <v>1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4" si="0">AVERAGE(D6,E6:F6,G6:I6)</f>
        <v>15.67</v>
      </c>
      <c r="K6" s="83">
        <f t="shared" ref="K6:K10" si="1">C6</f>
        <v>1</v>
      </c>
      <c r="L6" s="79">
        <f t="shared" ref="L6:L14" si="2">J6*K6</f>
        <v>15.67</v>
      </c>
      <c r="M6" s="85">
        <v>6</v>
      </c>
      <c r="N6" s="90">
        <f t="shared" ref="N6:N14" si="3">(J6/M6)*K6</f>
        <v>2.61</v>
      </c>
      <c r="O6" s="89"/>
      <c r="P6" s="89"/>
      <c r="Q6" s="89"/>
    </row>
    <row r="7" spans="1:20" x14ac:dyDescent="0.35">
      <c r="A7" s="77" t="s">
        <v>160</v>
      </c>
      <c r="B7" s="77">
        <v>3</v>
      </c>
      <c r="C7" s="77">
        <v>3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3</v>
      </c>
      <c r="L7" s="79">
        <f t="shared" si="2"/>
        <v>124.68</v>
      </c>
      <c r="M7" s="85">
        <v>36</v>
      </c>
      <c r="N7" s="90">
        <f t="shared" si="3"/>
        <v>3.46</v>
      </c>
    </row>
    <row r="8" spans="1:20" x14ac:dyDescent="0.35">
      <c r="A8" s="77" t="s">
        <v>153</v>
      </c>
      <c r="B8" s="77">
        <v>3</v>
      </c>
      <c r="C8" s="77">
        <v>3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3</v>
      </c>
      <c r="L8" s="79">
        <f t="shared" si="2"/>
        <v>249</v>
      </c>
      <c r="M8" s="85">
        <v>30</v>
      </c>
      <c r="N8" s="90">
        <f t="shared" si="3"/>
        <v>8.3000000000000007</v>
      </c>
    </row>
    <row r="9" spans="1:20" x14ac:dyDescent="0.35">
      <c r="A9" s="77" t="s">
        <v>152</v>
      </c>
      <c r="B9" s="77">
        <v>3</v>
      </c>
      <c r="C9" s="77">
        <v>3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3</v>
      </c>
      <c r="L9" s="79">
        <f t="shared" si="2"/>
        <v>2371.29</v>
      </c>
      <c r="M9" s="85">
        <v>36</v>
      </c>
      <c r="N9" s="90">
        <f t="shared" si="3"/>
        <v>65.87</v>
      </c>
    </row>
    <row r="10" spans="1:20" x14ac:dyDescent="0.35">
      <c r="A10" s="77" t="s">
        <v>171</v>
      </c>
      <c r="B10" s="77">
        <v>1</v>
      </c>
      <c r="C10" s="77">
        <v>1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1</v>
      </c>
      <c r="L10" s="79">
        <f t="shared" si="2"/>
        <v>795.01</v>
      </c>
      <c r="M10" s="112">
        <v>40</v>
      </c>
      <c r="N10" s="90">
        <f t="shared" si="3"/>
        <v>19.88</v>
      </c>
    </row>
    <row r="11" spans="1:20" x14ac:dyDescent="0.35">
      <c r="A11" s="77" t="s">
        <v>157</v>
      </c>
      <c r="B11" s="77">
        <v>3</v>
      </c>
      <c r="C11" s="77">
        <v>3</v>
      </c>
      <c r="D11" s="100">
        <v>12834.86</v>
      </c>
      <c r="E11" s="100"/>
      <c r="F11" s="124">
        <v>11436.5</v>
      </c>
      <c r="G11" s="123">
        <v>12419.6</v>
      </c>
      <c r="H11" s="123">
        <v>12384.86</v>
      </c>
      <c r="I11" s="123">
        <v>13796.72</v>
      </c>
      <c r="J11" s="80">
        <f t="shared" si="0"/>
        <v>12574.51</v>
      </c>
      <c r="K11" s="83">
        <v>3</v>
      </c>
      <c r="L11" s="79">
        <f t="shared" si="2"/>
        <v>37723.53</v>
      </c>
      <c r="M11" s="85">
        <v>37</v>
      </c>
      <c r="N11" s="90">
        <f t="shared" si="3"/>
        <v>1019.55</v>
      </c>
    </row>
    <row r="12" spans="1:20" x14ac:dyDescent="0.35">
      <c r="A12" s="77" t="s">
        <v>184</v>
      </c>
      <c r="B12" s="77">
        <v>3</v>
      </c>
      <c r="C12" s="77">
        <v>3</v>
      </c>
      <c r="D12" s="100">
        <v>1520</v>
      </c>
      <c r="E12" s="100"/>
      <c r="F12" s="78">
        <v>1215</v>
      </c>
      <c r="G12" s="100">
        <v>1300</v>
      </c>
      <c r="H12" s="100">
        <v>1430</v>
      </c>
      <c r="I12" s="100">
        <v>1430</v>
      </c>
      <c r="J12" s="80">
        <f t="shared" si="0"/>
        <v>1379</v>
      </c>
      <c r="K12" s="83">
        <v>3</v>
      </c>
      <c r="L12" s="79">
        <f t="shared" si="2"/>
        <v>4137</v>
      </c>
      <c r="M12" s="85">
        <v>40</v>
      </c>
      <c r="N12" s="90">
        <f t="shared" si="3"/>
        <v>103.43</v>
      </c>
    </row>
    <row r="13" spans="1:20" x14ac:dyDescent="0.35">
      <c r="A13" s="77" t="s">
        <v>174</v>
      </c>
      <c r="B13" s="77">
        <v>18</v>
      </c>
      <c r="C13" s="77">
        <v>18</v>
      </c>
      <c r="D13" s="100">
        <v>6.44</v>
      </c>
      <c r="E13" s="100"/>
      <c r="F13" s="119">
        <v>0.79</v>
      </c>
      <c r="G13" s="118">
        <v>0.79</v>
      </c>
      <c r="H13" s="118">
        <v>4.08</v>
      </c>
      <c r="I13" s="118">
        <v>4.46</v>
      </c>
      <c r="J13" s="80">
        <f t="shared" si="0"/>
        <v>3.31</v>
      </c>
      <c r="K13" s="83">
        <v>18</v>
      </c>
      <c r="L13" s="79">
        <f t="shared" si="2"/>
        <v>59.58</v>
      </c>
      <c r="M13" s="85">
        <v>39</v>
      </c>
      <c r="N13" s="90">
        <f t="shared" si="3"/>
        <v>1.53</v>
      </c>
    </row>
    <row r="14" spans="1:20" ht="43.5" x14ac:dyDescent="0.35">
      <c r="A14" s="77" t="s">
        <v>173</v>
      </c>
      <c r="B14" s="77">
        <v>1</v>
      </c>
      <c r="C14" s="77">
        <v>1</v>
      </c>
      <c r="D14" s="100">
        <v>2624</v>
      </c>
      <c r="E14" s="122"/>
      <c r="F14" s="121">
        <v>160</v>
      </c>
      <c r="G14" s="121">
        <v>195</v>
      </c>
      <c r="H14" s="121">
        <v>288.25</v>
      </c>
      <c r="I14" s="121">
        <v>419.9</v>
      </c>
      <c r="J14" s="120">
        <f t="shared" si="0"/>
        <v>737.43</v>
      </c>
      <c r="K14" s="83">
        <v>1</v>
      </c>
      <c r="L14" s="79">
        <f t="shared" si="2"/>
        <v>737.43</v>
      </c>
      <c r="M14" s="85">
        <v>38</v>
      </c>
      <c r="N14" s="113">
        <f t="shared" si="3"/>
        <v>19.41</v>
      </c>
    </row>
    <row r="15" spans="1:20" s="92" customFormat="1" ht="15.75" customHeight="1" x14ac:dyDescent="0.35">
      <c r="A15" s="98"/>
      <c r="B15" s="98"/>
      <c r="C15" s="98"/>
      <c r="D15" s="98"/>
      <c r="E15" s="98"/>
      <c r="F15" s="91"/>
      <c r="G15" s="91"/>
      <c r="H15" s="91"/>
      <c r="I15" s="91"/>
      <c r="J15" s="109" t="s">
        <v>145</v>
      </c>
      <c r="K15" s="110"/>
      <c r="L15" s="110"/>
      <c r="M15" s="111"/>
      <c r="N15" s="93">
        <f>SUM(N6:N14)/3</f>
        <v>414.68</v>
      </c>
    </row>
    <row r="16" spans="1:20" ht="39.75" customHeight="1" x14ac:dyDescent="0.35">
      <c r="A16" s="203" t="s">
        <v>154</v>
      </c>
      <c r="B16" s="204"/>
      <c r="C16" s="204"/>
      <c r="D16" s="204"/>
      <c r="E16" s="204"/>
      <c r="F16" s="205"/>
      <c r="G16" s="99"/>
      <c r="J16" s="97" t="s">
        <v>146</v>
      </c>
      <c r="K16" s="97"/>
      <c r="L16" s="97"/>
      <c r="M16" s="97"/>
      <c r="N16" s="94">
        <f>N15/2</f>
        <v>207.34</v>
      </c>
    </row>
    <row r="20" spans="1:14" ht="18.75" customHeight="1" x14ac:dyDescent="0.45">
      <c r="A20" s="206" t="s">
        <v>197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</row>
    <row r="21" spans="1:14" ht="29" x14ac:dyDescent="0.35">
      <c r="A21" s="209" t="s">
        <v>127</v>
      </c>
      <c r="B21" s="82" t="s">
        <v>136</v>
      </c>
      <c r="C21" s="82" t="s">
        <v>137</v>
      </c>
      <c r="D21" s="82" t="s">
        <v>155</v>
      </c>
      <c r="E21" s="82" t="s">
        <v>175</v>
      </c>
      <c r="F21" s="82"/>
      <c r="G21" s="82"/>
      <c r="H21" s="82"/>
      <c r="I21" s="82"/>
      <c r="J21" s="83" t="s">
        <v>142</v>
      </c>
      <c r="K21" s="210" t="s">
        <v>129</v>
      </c>
      <c r="L21" s="210" t="s">
        <v>133</v>
      </c>
      <c r="M21" s="210" t="s">
        <v>143</v>
      </c>
      <c r="N21" s="212" t="s">
        <v>144</v>
      </c>
    </row>
    <row r="22" spans="1:14" x14ac:dyDescent="0.35">
      <c r="A22" s="209"/>
      <c r="B22" s="82"/>
      <c r="C22" s="82"/>
      <c r="D22" s="82" t="s">
        <v>128</v>
      </c>
      <c r="E22" s="82" t="s">
        <v>128</v>
      </c>
      <c r="F22" s="82" t="s">
        <v>128</v>
      </c>
      <c r="G22" s="82" t="s">
        <v>128</v>
      </c>
      <c r="H22" s="82" t="s">
        <v>128</v>
      </c>
      <c r="I22" s="82" t="s">
        <v>128</v>
      </c>
      <c r="J22" s="83" t="s">
        <v>128</v>
      </c>
      <c r="K22" s="211"/>
      <c r="L22" s="211"/>
      <c r="M22" s="211"/>
      <c r="N22" s="212"/>
    </row>
    <row r="23" spans="1:14" x14ac:dyDescent="0.35">
      <c r="A23" s="77" t="s">
        <v>185</v>
      </c>
      <c r="B23" s="77">
        <v>6</v>
      </c>
      <c r="C23" s="77">
        <v>6</v>
      </c>
      <c r="D23" s="100">
        <v>1797.5</v>
      </c>
      <c r="E23" s="100"/>
      <c r="F23" s="78">
        <v>40</v>
      </c>
      <c r="G23" s="100">
        <v>225</v>
      </c>
      <c r="H23" s="100">
        <v>330</v>
      </c>
      <c r="I23" s="100">
        <v>384.94</v>
      </c>
      <c r="J23" s="80">
        <f t="shared" ref="J23:J26" si="4">AVERAGE(D23,E23:F23,G23:I23)</f>
        <v>555.49</v>
      </c>
      <c r="K23" s="83">
        <v>6</v>
      </c>
      <c r="L23" s="79">
        <f t="shared" ref="L23:L26" si="5">J23*K23</f>
        <v>3332.94</v>
      </c>
      <c r="M23" s="85">
        <v>40</v>
      </c>
      <c r="N23" s="90">
        <f t="shared" ref="N23:N26" si="6">(J23/M23)*K23</f>
        <v>83.32</v>
      </c>
    </row>
    <row r="24" spans="1:14" x14ac:dyDescent="0.35">
      <c r="A24" s="77" t="s">
        <v>151</v>
      </c>
      <c r="B24" s="77">
        <v>6</v>
      </c>
      <c r="C24" s="77">
        <v>6</v>
      </c>
      <c r="D24" s="78">
        <v>25.35</v>
      </c>
      <c r="E24" s="78"/>
      <c r="F24" s="78">
        <v>10</v>
      </c>
      <c r="G24" s="78">
        <v>22.8</v>
      </c>
      <c r="H24" s="78">
        <v>27.9</v>
      </c>
      <c r="I24" s="78">
        <v>29.9</v>
      </c>
      <c r="J24" s="80">
        <f t="shared" si="4"/>
        <v>23.19</v>
      </c>
      <c r="K24" s="83">
        <f t="shared" ref="K24:K25" si="7">C24</f>
        <v>6</v>
      </c>
      <c r="L24" s="79">
        <f t="shared" si="5"/>
        <v>139.13999999999999</v>
      </c>
      <c r="M24" s="108">
        <v>30</v>
      </c>
      <c r="N24" s="90">
        <f t="shared" si="6"/>
        <v>4.6399999999999997</v>
      </c>
    </row>
    <row r="25" spans="1:14" ht="29" x14ac:dyDescent="0.35">
      <c r="A25" s="77" t="s">
        <v>172</v>
      </c>
      <c r="B25" s="77">
        <v>6</v>
      </c>
      <c r="C25" s="77">
        <v>6</v>
      </c>
      <c r="D25" s="78">
        <v>12.99</v>
      </c>
      <c r="E25" s="78"/>
      <c r="F25" s="78">
        <v>6.9</v>
      </c>
      <c r="G25" s="78">
        <v>7</v>
      </c>
      <c r="H25" s="78">
        <v>8</v>
      </c>
      <c r="I25" s="107">
        <v>17.97</v>
      </c>
      <c r="J25" s="80">
        <f t="shared" si="4"/>
        <v>10.57</v>
      </c>
      <c r="K25" s="83">
        <f t="shared" si="7"/>
        <v>6</v>
      </c>
      <c r="L25" s="79">
        <f t="shared" si="5"/>
        <v>63.42</v>
      </c>
      <c r="M25" s="112">
        <v>24</v>
      </c>
      <c r="N25" s="90">
        <f t="shared" si="6"/>
        <v>2.64</v>
      </c>
    </row>
    <row r="26" spans="1:14" ht="58" x14ac:dyDescent="0.35">
      <c r="A26" s="77" t="s">
        <v>158</v>
      </c>
      <c r="B26" s="77">
        <v>6</v>
      </c>
      <c r="C26" s="77">
        <v>6</v>
      </c>
      <c r="D26" s="100">
        <v>110</v>
      </c>
      <c r="E26" s="100">
        <v>316.14999999999998</v>
      </c>
      <c r="F26" s="78">
        <v>48.07</v>
      </c>
      <c r="G26" s="100">
        <v>80</v>
      </c>
      <c r="H26" s="100">
        <v>80</v>
      </c>
      <c r="I26" s="100">
        <v>80</v>
      </c>
      <c r="J26" s="80">
        <f t="shared" si="4"/>
        <v>119.04</v>
      </c>
      <c r="K26" s="83">
        <v>6</v>
      </c>
      <c r="L26" s="79">
        <f t="shared" si="5"/>
        <v>714.24</v>
      </c>
      <c r="M26" s="85">
        <v>41</v>
      </c>
      <c r="N26" s="113">
        <f t="shared" si="6"/>
        <v>17.420000000000002</v>
      </c>
    </row>
    <row r="27" spans="1:14" ht="15.5" x14ac:dyDescent="0.35">
      <c r="A27" s="134"/>
      <c r="B27" s="135"/>
      <c r="C27" s="135"/>
      <c r="D27" s="136"/>
      <c r="E27" s="136"/>
      <c r="F27" s="137"/>
      <c r="G27" s="131"/>
      <c r="H27" s="131"/>
      <c r="I27" s="131"/>
      <c r="J27" s="109" t="s">
        <v>145</v>
      </c>
      <c r="K27" s="83"/>
      <c r="L27" s="79"/>
      <c r="M27" s="85"/>
      <c r="N27" s="113">
        <f>SUM(N23:N26)/3</f>
        <v>36.01</v>
      </c>
    </row>
    <row r="28" spans="1:14" ht="45" customHeight="1" x14ac:dyDescent="0.35">
      <c r="A28" s="203" t="s">
        <v>154</v>
      </c>
      <c r="B28" s="204"/>
      <c r="C28" s="204"/>
      <c r="D28" s="204"/>
      <c r="E28" s="204"/>
      <c r="F28" s="205"/>
      <c r="G28" s="99"/>
      <c r="J28" s="97" t="s">
        <v>146</v>
      </c>
      <c r="K28" s="97"/>
      <c r="L28" s="97"/>
      <c r="M28" s="97"/>
      <c r="N28" s="94">
        <f>N27/2</f>
        <v>18.010000000000002</v>
      </c>
    </row>
  </sheetData>
  <mergeCells count="15">
    <mergeCell ref="A16:F16"/>
    <mergeCell ref="A28:F28"/>
    <mergeCell ref="A1:N1"/>
    <mergeCell ref="A3:N3"/>
    <mergeCell ref="A4:A5"/>
    <mergeCell ref="K4:K5"/>
    <mergeCell ref="L4:L5"/>
    <mergeCell ref="M4:M5"/>
    <mergeCell ref="N4:N5"/>
    <mergeCell ref="A20:N20"/>
    <mergeCell ref="A21:A22"/>
    <mergeCell ref="K21:K22"/>
    <mergeCell ref="L21:L22"/>
    <mergeCell ref="M21:M22"/>
    <mergeCell ref="N21:N2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1EC1D-AA09-4487-9E07-FD460894D8A4}">
  <dimension ref="A1:T28"/>
  <sheetViews>
    <sheetView topLeftCell="A2" zoomScaleNormal="100" workbookViewId="0">
      <selection activeCell="B11" sqref="B11:C11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33" customHeight="1" thickBot="1" x14ac:dyDescent="0.4">
      <c r="A1" s="213" t="s">
        <v>198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170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1</v>
      </c>
      <c r="C6" s="77">
        <v>1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4" si="0">AVERAGE(D6,E6:F6,G6:I6)</f>
        <v>15.67</v>
      </c>
      <c r="K6" s="83">
        <f t="shared" ref="K6:K10" si="1">C6</f>
        <v>1</v>
      </c>
      <c r="L6" s="79">
        <f t="shared" ref="L6:L14" si="2">J6*K6</f>
        <v>15.67</v>
      </c>
      <c r="M6" s="85">
        <v>6</v>
      </c>
      <c r="N6" s="90">
        <f t="shared" ref="N6:N14" si="3">(J6/M6)*K6</f>
        <v>2.61</v>
      </c>
      <c r="O6" s="89"/>
      <c r="P6" s="89"/>
      <c r="Q6" s="89"/>
    </row>
    <row r="7" spans="1:20" x14ac:dyDescent="0.35">
      <c r="A7" s="77" t="s">
        <v>160</v>
      </c>
      <c r="B7" s="77">
        <v>3</v>
      </c>
      <c r="C7" s="77">
        <v>3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3</v>
      </c>
      <c r="L7" s="79">
        <f t="shared" si="2"/>
        <v>124.68</v>
      </c>
      <c r="M7" s="85">
        <v>36</v>
      </c>
      <c r="N7" s="90">
        <f t="shared" si="3"/>
        <v>3.46</v>
      </c>
    </row>
    <row r="8" spans="1:20" x14ac:dyDescent="0.35">
      <c r="A8" s="77" t="s">
        <v>153</v>
      </c>
      <c r="B8" s="77">
        <v>3</v>
      </c>
      <c r="C8" s="77">
        <v>3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3</v>
      </c>
      <c r="L8" s="79">
        <f t="shared" si="2"/>
        <v>249</v>
      </c>
      <c r="M8" s="85">
        <v>30</v>
      </c>
      <c r="N8" s="90">
        <f t="shared" si="3"/>
        <v>8.3000000000000007</v>
      </c>
    </row>
    <row r="9" spans="1:20" x14ac:dyDescent="0.35">
      <c r="A9" s="77" t="s">
        <v>152</v>
      </c>
      <c r="B9" s="77">
        <v>3</v>
      </c>
      <c r="C9" s="77">
        <v>3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3</v>
      </c>
      <c r="L9" s="79">
        <f t="shared" si="2"/>
        <v>2371.29</v>
      </c>
      <c r="M9" s="85">
        <v>36</v>
      </c>
      <c r="N9" s="90">
        <f t="shared" si="3"/>
        <v>65.87</v>
      </c>
    </row>
    <row r="10" spans="1:20" x14ac:dyDescent="0.35">
      <c r="A10" s="77" t="s">
        <v>171</v>
      </c>
      <c r="B10" s="77">
        <v>1</v>
      </c>
      <c r="C10" s="77">
        <v>1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1</v>
      </c>
      <c r="L10" s="79">
        <f t="shared" si="2"/>
        <v>795.01</v>
      </c>
      <c r="M10" s="112">
        <v>40</v>
      </c>
      <c r="N10" s="90">
        <f t="shared" si="3"/>
        <v>19.88</v>
      </c>
    </row>
    <row r="11" spans="1:20" x14ac:dyDescent="0.35">
      <c r="A11" s="77" t="s">
        <v>157</v>
      </c>
      <c r="B11" s="77">
        <v>3</v>
      </c>
      <c r="C11" s="77">
        <v>3</v>
      </c>
      <c r="D11" s="100">
        <v>12834.86</v>
      </c>
      <c r="E11" s="100"/>
      <c r="F11" s="124">
        <v>11436.5</v>
      </c>
      <c r="G11" s="123">
        <v>12419.6</v>
      </c>
      <c r="H11" s="123">
        <v>12384.86</v>
      </c>
      <c r="I11" s="123">
        <v>13796.72</v>
      </c>
      <c r="J11" s="80">
        <f t="shared" si="0"/>
        <v>12574.51</v>
      </c>
      <c r="K11" s="83">
        <v>3</v>
      </c>
      <c r="L11" s="79">
        <f t="shared" si="2"/>
        <v>37723.53</v>
      </c>
      <c r="M11" s="85">
        <v>37</v>
      </c>
      <c r="N11" s="90">
        <f t="shared" si="3"/>
        <v>1019.55</v>
      </c>
    </row>
    <row r="12" spans="1:20" x14ac:dyDescent="0.35">
      <c r="A12" s="77" t="s">
        <v>184</v>
      </c>
      <c r="B12" s="77">
        <v>3</v>
      </c>
      <c r="C12" s="77">
        <v>3</v>
      </c>
      <c r="D12" s="100">
        <v>1520</v>
      </c>
      <c r="E12" s="100"/>
      <c r="F12" s="78">
        <v>1215</v>
      </c>
      <c r="G12" s="100">
        <v>1300</v>
      </c>
      <c r="H12" s="100">
        <v>1430</v>
      </c>
      <c r="I12" s="100">
        <v>1430</v>
      </c>
      <c r="J12" s="80">
        <f t="shared" si="0"/>
        <v>1379</v>
      </c>
      <c r="K12" s="83">
        <v>3</v>
      </c>
      <c r="L12" s="79">
        <f t="shared" si="2"/>
        <v>4137</v>
      </c>
      <c r="M12" s="85">
        <v>40</v>
      </c>
      <c r="N12" s="90">
        <f t="shared" si="3"/>
        <v>103.43</v>
      </c>
    </row>
    <row r="13" spans="1:20" x14ac:dyDescent="0.35">
      <c r="A13" s="77" t="s">
        <v>174</v>
      </c>
      <c r="B13" s="77">
        <v>18</v>
      </c>
      <c r="C13" s="77">
        <v>18</v>
      </c>
      <c r="D13" s="100">
        <v>6.44</v>
      </c>
      <c r="E13" s="100"/>
      <c r="F13" s="119">
        <v>0.79</v>
      </c>
      <c r="G13" s="118">
        <v>0.79</v>
      </c>
      <c r="H13" s="118">
        <v>4.08</v>
      </c>
      <c r="I13" s="118">
        <v>4.46</v>
      </c>
      <c r="J13" s="80">
        <f t="shared" si="0"/>
        <v>3.31</v>
      </c>
      <c r="K13" s="83">
        <v>18</v>
      </c>
      <c r="L13" s="79">
        <f t="shared" si="2"/>
        <v>59.58</v>
      </c>
      <c r="M13" s="85">
        <v>39</v>
      </c>
      <c r="N13" s="90">
        <f t="shared" si="3"/>
        <v>1.53</v>
      </c>
    </row>
    <row r="14" spans="1:20" ht="43.5" x14ac:dyDescent="0.35">
      <c r="A14" s="77" t="s">
        <v>173</v>
      </c>
      <c r="B14" s="77">
        <v>1</v>
      </c>
      <c r="C14" s="77">
        <v>1</v>
      </c>
      <c r="D14" s="100">
        <v>2624</v>
      </c>
      <c r="E14" s="122"/>
      <c r="F14" s="121">
        <v>160</v>
      </c>
      <c r="G14" s="121">
        <v>195</v>
      </c>
      <c r="H14" s="121">
        <v>288.25</v>
      </c>
      <c r="I14" s="121">
        <v>419.9</v>
      </c>
      <c r="J14" s="120">
        <f t="shared" si="0"/>
        <v>737.43</v>
      </c>
      <c r="K14" s="83">
        <v>1</v>
      </c>
      <c r="L14" s="79">
        <f t="shared" si="2"/>
        <v>737.43</v>
      </c>
      <c r="M14" s="85">
        <v>38</v>
      </c>
      <c r="N14" s="113">
        <f t="shared" si="3"/>
        <v>19.41</v>
      </c>
    </row>
    <row r="15" spans="1:20" s="92" customFormat="1" ht="15.75" customHeight="1" x14ac:dyDescent="0.35">
      <c r="A15" s="98"/>
      <c r="B15" s="98"/>
      <c r="C15" s="98"/>
      <c r="D15" s="98"/>
      <c r="E15" s="98"/>
      <c r="F15" s="91"/>
      <c r="G15" s="91"/>
      <c r="H15" s="91"/>
      <c r="I15" s="91"/>
      <c r="J15" s="109" t="s">
        <v>145</v>
      </c>
      <c r="K15" s="110"/>
      <c r="L15" s="110"/>
      <c r="M15" s="111"/>
      <c r="N15" s="93">
        <f>SUM(N6:N14)/3</f>
        <v>414.68</v>
      </c>
    </row>
    <row r="16" spans="1:20" ht="39.75" customHeight="1" x14ac:dyDescent="0.35">
      <c r="A16" s="203" t="s">
        <v>154</v>
      </c>
      <c r="B16" s="204"/>
      <c r="C16" s="204"/>
      <c r="D16" s="204"/>
      <c r="E16" s="204"/>
      <c r="F16" s="205"/>
      <c r="G16" s="99"/>
      <c r="J16" s="97" t="s">
        <v>146</v>
      </c>
      <c r="K16" s="97"/>
      <c r="L16" s="97"/>
      <c r="M16" s="97"/>
      <c r="N16" s="94">
        <f>N15/2</f>
        <v>207.34</v>
      </c>
    </row>
    <row r="20" spans="1:14" ht="18.75" customHeight="1" x14ac:dyDescent="0.45">
      <c r="A20" s="206" t="s">
        <v>189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</row>
    <row r="21" spans="1:14" ht="29" x14ac:dyDescent="0.35">
      <c r="A21" s="209" t="s">
        <v>127</v>
      </c>
      <c r="B21" s="82" t="s">
        <v>136</v>
      </c>
      <c r="C21" s="82" t="s">
        <v>137</v>
      </c>
      <c r="D21" s="82" t="s">
        <v>155</v>
      </c>
      <c r="E21" s="82" t="s">
        <v>175</v>
      </c>
      <c r="F21" s="82"/>
      <c r="G21" s="82"/>
      <c r="H21" s="82"/>
      <c r="I21" s="82"/>
      <c r="J21" s="83" t="s">
        <v>142</v>
      </c>
      <c r="K21" s="210" t="s">
        <v>129</v>
      </c>
      <c r="L21" s="210" t="s">
        <v>133</v>
      </c>
      <c r="M21" s="210" t="s">
        <v>143</v>
      </c>
      <c r="N21" s="212" t="s">
        <v>144</v>
      </c>
    </row>
    <row r="22" spans="1:14" x14ac:dyDescent="0.35">
      <c r="A22" s="209"/>
      <c r="B22" s="82"/>
      <c r="C22" s="82"/>
      <c r="D22" s="82" t="s">
        <v>128</v>
      </c>
      <c r="E22" s="82" t="s">
        <v>128</v>
      </c>
      <c r="F22" s="82" t="s">
        <v>128</v>
      </c>
      <c r="G22" s="82" t="s">
        <v>128</v>
      </c>
      <c r="H22" s="82" t="s">
        <v>128</v>
      </c>
      <c r="I22" s="82" t="s">
        <v>128</v>
      </c>
      <c r="J22" s="83" t="s">
        <v>128</v>
      </c>
      <c r="K22" s="211"/>
      <c r="L22" s="211"/>
      <c r="M22" s="211"/>
      <c r="N22" s="212"/>
    </row>
    <row r="23" spans="1:14" x14ac:dyDescent="0.35">
      <c r="A23" s="77" t="s">
        <v>185</v>
      </c>
      <c r="B23" s="77">
        <v>6</v>
      </c>
      <c r="C23" s="77">
        <v>6</v>
      </c>
      <c r="D23" s="100">
        <v>1797.5</v>
      </c>
      <c r="E23" s="100"/>
      <c r="F23" s="78">
        <v>40</v>
      </c>
      <c r="G23" s="100">
        <v>225</v>
      </c>
      <c r="H23" s="100">
        <v>330</v>
      </c>
      <c r="I23" s="100">
        <v>384.94</v>
      </c>
      <c r="J23" s="80">
        <f t="shared" ref="J23:J26" si="4">AVERAGE(D23,E23:F23,G23:I23)</f>
        <v>555.49</v>
      </c>
      <c r="K23" s="83">
        <v>6</v>
      </c>
      <c r="L23" s="79">
        <f t="shared" ref="L23:L26" si="5">J23*K23</f>
        <v>3332.94</v>
      </c>
      <c r="M23" s="85">
        <v>40</v>
      </c>
      <c r="N23" s="90">
        <f t="shared" ref="N23:N26" si="6">(J23/M23)*K23</f>
        <v>83.32</v>
      </c>
    </row>
    <row r="24" spans="1:14" x14ac:dyDescent="0.35">
      <c r="A24" s="77" t="s">
        <v>151</v>
      </c>
      <c r="B24" s="77">
        <v>6</v>
      </c>
      <c r="C24" s="77">
        <v>6</v>
      </c>
      <c r="D24" s="78">
        <v>25.35</v>
      </c>
      <c r="E24" s="78"/>
      <c r="F24" s="78">
        <v>10</v>
      </c>
      <c r="G24" s="78">
        <v>22.8</v>
      </c>
      <c r="H24" s="78">
        <v>27.9</v>
      </c>
      <c r="I24" s="78">
        <v>29.9</v>
      </c>
      <c r="J24" s="80">
        <f t="shared" si="4"/>
        <v>23.19</v>
      </c>
      <c r="K24" s="83">
        <f t="shared" ref="K24:K25" si="7">C24</f>
        <v>6</v>
      </c>
      <c r="L24" s="79">
        <f t="shared" si="5"/>
        <v>139.13999999999999</v>
      </c>
      <c r="M24" s="108">
        <v>30</v>
      </c>
      <c r="N24" s="90">
        <f t="shared" si="6"/>
        <v>4.6399999999999997</v>
      </c>
    </row>
    <row r="25" spans="1:14" ht="29" x14ac:dyDescent="0.35">
      <c r="A25" s="77" t="s">
        <v>172</v>
      </c>
      <c r="B25" s="77">
        <v>6</v>
      </c>
      <c r="C25" s="77">
        <v>6</v>
      </c>
      <c r="D25" s="78">
        <v>12.99</v>
      </c>
      <c r="E25" s="78"/>
      <c r="F25" s="78">
        <v>6.9</v>
      </c>
      <c r="G25" s="78">
        <v>7</v>
      </c>
      <c r="H25" s="78">
        <v>8</v>
      </c>
      <c r="I25" s="107">
        <v>17.97</v>
      </c>
      <c r="J25" s="80">
        <f t="shared" si="4"/>
        <v>10.57</v>
      </c>
      <c r="K25" s="83">
        <f t="shared" si="7"/>
        <v>6</v>
      </c>
      <c r="L25" s="79">
        <f t="shared" si="5"/>
        <v>63.42</v>
      </c>
      <c r="M25" s="112">
        <v>24</v>
      </c>
      <c r="N25" s="90">
        <f t="shared" si="6"/>
        <v>2.64</v>
      </c>
    </row>
    <row r="26" spans="1:14" ht="58" x14ac:dyDescent="0.35">
      <c r="A26" s="77" t="s">
        <v>158</v>
      </c>
      <c r="B26" s="77">
        <v>6</v>
      </c>
      <c r="C26" s="77">
        <v>6</v>
      </c>
      <c r="D26" s="100">
        <v>110</v>
      </c>
      <c r="E26" s="100">
        <v>316.14999999999998</v>
      </c>
      <c r="F26" s="78">
        <v>48.07</v>
      </c>
      <c r="G26" s="100">
        <v>80</v>
      </c>
      <c r="H26" s="100">
        <v>80</v>
      </c>
      <c r="I26" s="100">
        <v>80</v>
      </c>
      <c r="J26" s="80">
        <f t="shared" si="4"/>
        <v>119.04</v>
      </c>
      <c r="K26" s="83">
        <v>6</v>
      </c>
      <c r="L26" s="79">
        <f t="shared" si="5"/>
        <v>714.24</v>
      </c>
      <c r="M26" s="85">
        <v>41</v>
      </c>
      <c r="N26" s="113">
        <f t="shared" si="6"/>
        <v>17.420000000000002</v>
      </c>
    </row>
    <row r="27" spans="1:14" ht="15.5" x14ac:dyDescent="0.35">
      <c r="A27" s="134"/>
      <c r="B27" s="135"/>
      <c r="C27" s="135"/>
      <c r="D27" s="136"/>
      <c r="E27" s="136"/>
      <c r="F27" s="137"/>
      <c r="G27" s="131"/>
      <c r="H27" s="131"/>
      <c r="I27" s="131"/>
      <c r="J27" s="109" t="s">
        <v>145</v>
      </c>
      <c r="K27" s="83"/>
      <c r="L27" s="79"/>
      <c r="M27" s="85"/>
      <c r="N27" s="113">
        <f>SUM(N23:N26)/3</f>
        <v>36.01</v>
      </c>
    </row>
    <row r="28" spans="1:14" ht="45" customHeight="1" x14ac:dyDescent="0.35">
      <c r="A28" s="203" t="s">
        <v>154</v>
      </c>
      <c r="B28" s="204"/>
      <c r="C28" s="204"/>
      <c r="D28" s="204"/>
      <c r="E28" s="204"/>
      <c r="F28" s="205"/>
      <c r="G28" s="99"/>
      <c r="J28" s="97" t="s">
        <v>146</v>
      </c>
      <c r="K28" s="97"/>
      <c r="L28" s="97"/>
      <c r="M28" s="97"/>
      <c r="N28" s="94">
        <f>N27/2</f>
        <v>18.010000000000002</v>
      </c>
    </row>
  </sheetData>
  <mergeCells count="15">
    <mergeCell ref="A16:F16"/>
    <mergeCell ref="A28:F28"/>
    <mergeCell ref="A1:N1"/>
    <mergeCell ref="A3:N3"/>
    <mergeCell ref="A4:A5"/>
    <mergeCell ref="K4:K5"/>
    <mergeCell ref="L4:L5"/>
    <mergeCell ref="M4:M5"/>
    <mergeCell ref="N4:N5"/>
    <mergeCell ref="A20:N20"/>
    <mergeCell ref="A21:A22"/>
    <mergeCell ref="K21:K22"/>
    <mergeCell ref="L21:L22"/>
    <mergeCell ref="M21:M22"/>
    <mergeCell ref="N21:N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BE471-FE88-46FF-BBC2-4161252BBE19}">
  <dimension ref="A1:F136"/>
  <sheetViews>
    <sheetView showGridLines="0" view="pageBreakPreview" topLeftCell="A106" zoomScaleNormal="90" zoomScaleSheetLayoutView="100" workbookViewId="0">
      <selection activeCell="D111" sqref="D111"/>
    </sheetView>
  </sheetViews>
  <sheetFormatPr defaultColWidth="9.089843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6328125" style="1" bestFit="1" customWidth="1"/>
    <col min="6" max="6" width="17.90625" customWidth="1"/>
  </cols>
  <sheetData>
    <row r="1" spans="1:4" s="16" customFormat="1" ht="27" customHeight="1" x14ac:dyDescent="0.35">
      <c r="A1" s="148" t="s">
        <v>209</v>
      </c>
      <c r="B1" s="149"/>
      <c r="C1" s="149"/>
      <c r="D1" s="149"/>
    </row>
    <row r="2" spans="1:4" s="16" customFormat="1" ht="99" customHeight="1" thickBot="1" x14ac:dyDescent="0.4">
      <c r="A2" s="150"/>
      <c r="B2" s="150"/>
      <c r="C2" s="150"/>
      <c r="D2" s="150"/>
    </row>
    <row r="3" spans="1:4" s="16" customFormat="1" ht="15" customHeight="1" x14ac:dyDescent="0.35">
      <c r="A3" s="151" t="s">
        <v>52</v>
      </c>
      <c r="B3" s="152"/>
      <c r="C3" s="152"/>
      <c r="D3" s="152"/>
    </row>
    <row r="4" spans="1:4" s="16" customFormat="1" ht="15.75" customHeight="1" thickBot="1" x14ac:dyDescent="0.4">
      <c r="A4" s="153"/>
      <c r="B4" s="154"/>
      <c r="C4" s="154"/>
      <c r="D4" s="154"/>
    </row>
    <row r="5" spans="1:4" s="16" customFormat="1" ht="15" thickBot="1" x14ac:dyDescent="0.4">
      <c r="A5" s="17"/>
      <c r="D5" s="18"/>
    </row>
    <row r="6" spans="1:4" s="16" customFormat="1" ht="15" x14ac:dyDescent="0.35">
      <c r="A6" s="19" t="s">
        <v>65</v>
      </c>
      <c r="B6" s="155" t="s">
        <v>179</v>
      </c>
      <c r="C6" s="155"/>
      <c r="D6" s="155"/>
    </row>
    <row r="7" spans="1:4" s="16" customFormat="1" ht="15" x14ac:dyDescent="0.35">
      <c r="A7" s="20" t="s">
        <v>64</v>
      </c>
      <c r="B7" s="156" t="s">
        <v>169</v>
      </c>
      <c r="C7" s="157"/>
      <c r="D7" s="157"/>
    </row>
    <row r="8" spans="1:4" s="16" customFormat="1" ht="15.5" thickBot="1" x14ac:dyDescent="0.4">
      <c r="A8" s="21" t="s">
        <v>66</v>
      </c>
      <c r="B8" s="158" t="s">
        <v>169</v>
      </c>
      <c r="C8" s="158"/>
      <c r="D8" s="158"/>
    </row>
    <row r="9" spans="1:4" s="16" customFormat="1" ht="15.5" thickBot="1" x14ac:dyDescent="0.4">
      <c r="A9" s="22"/>
      <c r="B9" s="22"/>
      <c r="C9" s="22"/>
      <c r="D9" s="18"/>
    </row>
    <row r="10" spans="1:4" s="16" customFormat="1" ht="15.5" thickBot="1" x14ac:dyDescent="0.4">
      <c r="A10" s="159" t="s">
        <v>53</v>
      </c>
      <c r="B10" s="160"/>
      <c r="C10" s="160"/>
      <c r="D10" s="161"/>
    </row>
    <row r="11" spans="1:4" s="16" customFormat="1" ht="15" x14ac:dyDescent="0.35">
      <c r="A11" s="7" t="s">
        <v>7</v>
      </c>
      <c r="B11" s="162" t="s">
        <v>54</v>
      </c>
      <c r="C11" s="163"/>
      <c r="D11" s="8"/>
    </row>
    <row r="12" spans="1:4" s="16" customFormat="1" ht="15" x14ac:dyDescent="0.35">
      <c r="A12" s="4" t="s">
        <v>9</v>
      </c>
      <c r="B12" s="164" t="s">
        <v>55</v>
      </c>
      <c r="C12" s="165"/>
      <c r="D12" s="23" t="s">
        <v>162</v>
      </c>
    </row>
    <row r="13" spans="1:4" s="16" customFormat="1" ht="15" x14ac:dyDescent="0.35">
      <c r="A13" s="4" t="s">
        <v>11</v>
      </c>
      <c r="B13" s="164" t="s">
        <v>62</v>
      </c>
      <c r="C13" s="165"/>
      <c r="D13" s="23" t="s">
        <v>180</v>
      </c>
    </row>
    <row r="14" spans="1:4" s="16" customFormat="1" ht="15" customHeight="1" x14ac:dyDescent="0.35">
      <c r="A14" s="4" t="s">
        <v>13</v>
      </c>
      <c r="B14" s="164" t="s">
        <v>56</v>
      </c>
      <c r="C14" s="165"/>
      <c r="D14" s="23" t="s">
        <v>181</v>
      </c>
    </row>
    <row r="15" spans="1:4" s="16" customFormat="1" ht="15.5" thickBot="1" x14ac:dyDescent="0.4">
      <c r="A15" s="24" t="s">
        <v>14</v>
      </c>
      <c r="B15" s="166" t="s">
        <v>57</v>
      </c>
      <c r="C15" s="167"/>
      <c r="D15" s="25">
        <v>60</v>
      </c>
    </row>
    <row r="16" spans="1:4" s="16" customFormat="1" ht="15.5" thickBot="1" x14ac:dyDescent="0.4">
      <c r="A16" s="22"/>
      <c r="B16" s="22"/>
      <c r="C16" s="22"/>
      <c r="D16" s="18"/>
    </row>
    <row r="17" spans="1:6" s="16" customFormat="1" ht="15.5" thickBot="1" x14ac:dyDescent="0.4">
      <c r="A17" s="146" t="s">
        <v>58</v>
      </c>
      <c r="B17" s="147"/>
      <c r="C17" s="147"/>
      <c r="D17" s="147"/>
    </row>
    <row r="18" spans="1:6" s="16" customFormat="1" ht="15" x14ac:dyDescent="0.35">
      <c r="A18" s="168" t="s">
        <v>67</v>
      </c>
      <c r="B18" s="169"/>
      <c r="C18" s="26" t="s">
        <v>68</v>
      </c>
      <c r="D18" s="27" t="s">
        <v>69</v>
      </c>
    </row>
    <row r="19" spans="1:6" s="16" customFormat="1" ht="15.75" customHeight="1" thickBot="1" x14ac:dyDescent="0.4">
      <c r="A19" s="170" t="s">
        <v>135</v>
      </c>
      <c r="B19" s="171"/>
      <c r="C19" s="28" t="s">
        <v>70</v>
      </c>
      <c r="D19" s="25">
        <v>12</v>
      </c>
    </row>
    <row r="20" spans="1:6" s="16" customFormat="1" ht="15" thickBot="1" x14ac:dyDescent="0.4">
      <c r="A20" s="18"/>
      <c r="D20" s="18"/>
    </row>
    <row r="21" spans="1:6" s="16" customFormat="1" ht="15.75" customHeight="1" thickBot="1" x14ac:dyDescent="0.4">
      <c r="A21" s="172" t="s">
        <v>0</v>
      </c>
      <c r="B21" s="173"/>
      <c r="C21" s="173"/>
      <c r="D21" s="174"/>
    </row>
    <row r="22" spans="1:6" s="16" customFormat="1" ht="15" x14ac:dyDescent="0.35">
      <c r="A22" s="7">
        <v>1</v>
      </c>
      <c r="B22" s="162" t="s">
        <v>1</v>
      </c>
      <c r="C22" s="163"/>
      <c r="D22" s="29" t="str">
        <f>A19</f>
        <v>Vigilante Diurno 12x36</v>
      </c>
    </row>
    <row r="23" spans="1:6" s="16" customFormat="1" ht="15" x14ac:dyDescent="0.35">
      <c r="A23" s="4">
        <v>2</v>
      </c>
      <c r="B23" s="164" t="s">
        <v>121</v>
      </c>
      <c r="C23" s="165"/>
      <c r="D23" s="101">
        <v>2723.41</v>
      </c>
    </row>
    <row r="24" spans="1:6" s="16" customFormat="1" ht="15" x14ac:dyDescent="0.35">
      <c r="A24" s="4">
        <v>3</v>
      </c>
      <c r="B24" s="175" t="s">
        <v>115</v>
      </c>
      <c r="C24" s="176"/>
      <c r="D24" s="23" t="str">
        <f>A19</f>
        <v>Vigilante Diurno 12x36</v>
      </c>
    </row>
    <row r="25" spans="1:6" s="16" customFormat="1" ht="15" x14ac:dyDescent="0.35">
      <c r="A25" s="4">
        <v>4</v>
      </c>
      <c r="B25" s="164" t="s">
        <v>2</v>
      </c>
      <c r="C25" s="165"/>
      <c r="D25" s="30" t="s">
        <v>183</v>
      </c>
    </row>
    <row r="26" spans="1:6" s="16" customFormat="1" ht="15.5" thickBot="1" x14ac:dyDescent="0.4">
      <c r="A26" s="24">
        <v>5</v>
      </c>
      <c r="B26" s="166" t="s">
        <v>71</v>
      </c>
      <c r="C26" s="167"/>
      <c r="D26" s="23">
        <v>14</v>
      </c>
    </row>
    <row r="27" spans="1:6" s="16" customFormat="1" ht="15" x14ac:dyDescent="0.35">
      <c r="A27" s="22"/>
      <c r="D27" s="18"/>
    </row>
    <row r="28" spans="1:6" s="16" customFormat="1" ht="16" thickBot="1" x14ac:dyDescent="0.4">
      <c r="A28" s="177" t="s">
        <v>3</v>
      </c>
      <c r="B28" s="177"/>
      <c r="C28" s="177"/>
      <c r="D28" s="177"/>
    </row>
    <row r="29" spans="1:6" s="16" customFormat="1" ht="15.5" thickBot="1" x14ac:dyDescent="0.4">
      <c r="A29" s="14" t="s">
        <v>4</v>
      </c>
      <c r="B29" s="174" t="s">
        <v>5</v>
      </c>
      <c r="C29" s="178"/>
      <c r="D29" s="31" t="s">
        <v>6</v>
      </c>
    </row>
    <row r="30" spans="1:6" s="16" customFormat="1" ht="15" x14ac:dyDescent="0.35">
      <c r="A30" s="7" t="s">
        <v>7</v>
      </c>
      <c r="B30" s="162" t="s">
        <v>8</v>
      </c>
      <c r="C30" s="163"/>
      <c r="D30" s="101">
        <v>2723.41</v>
      </c>
    </row>
    <row r="31" spans="1:6" s="16" customFormat="1" ht="15" x14ac:dyDescent="0.35">
      <c r="A31" s="4" t="s">
        <v>9</v>
      </c>
      <c r="B31" s="164" t="s">
        <v>10</v>
      </c>
      <c r="C31" s="165"/>
      <c r="D31" s="33">
        <f>D30*30%</f>
        <v>817.02</v>
      </c>
    </row>
    <row r="32" spans="1:6" s="16" customFormat="1" ht="15" x14ac:dyDescent="0.35">
      <c r="A32" s="4" t="s">
        <v>11</v>
      </c>
      <c r="B32" s="164" t="s">
        <v>12</v>
      </c>
      <c r="C32" s="165"/>
      <c r="D32" s="33"/>
      <c r="F32" s="34"/>
    </row>
    <row r="33" spans="1:4" s="16" customFormat="1" ht="15" x14ac:dyDescent="0.35">
      <c r="A33" s="4" t="s">
        <v>13</v>
      </c>
      <c r="B33" s="164" t="s">
        <v>72</v>
      </c>
      <c r="C33" s="165"/>
      <c r="D33" s="33"/>
    </row>
    <row r="34" spans="1:4" s="16" customFormat="1" ht="15" x14ac:dyDescent="0.35">
      <c r="A34" s="4" t="s">
        <v>14</v>
      </c>
      <c r="B34" s="164" t="s">
        <v>15</v>
      </c>
      <c r="C34" s="165"/>
      <c r="D34" s="33"/>
    </row>
    <row r="35" spans="1:4" s="16" customFormat="1" ht="15.75" customHeight="1" x14ac:dyDescent="0.35">
      <c r="A35" s="4" t="s">
        <v>16</v>
      </c>
      <c r="B35" s="175" t="s">
        <v>77</v>
      </c>
      <c r="C35" s="176"/>
      <c r="D35" s="33"/>
    </row>
    <row r="36" spans="1:4" s="16" customFormat="1" ht="15.5" thickBot="1" x14ac:dyDescent="0.4">
      <c r="A36" s="35" t="s">
        <v>17</v>
      </c>
      <c r="B36" s="166" t="s">
        <v>19</v>
      </c>
      <c r="C36" s="167"/>
      <c r="D36" s="36"/>
    </row>
    <row r="37" spans="1:4" s="16" customFormat="1" ht="15.75" customHeight="1" thickBot="1" x14ac:dyDescent="0.4">
      <c r="A37" s="179" t="s">
        <v>20</v>
      </c>
      <c r="B37" s="180"/>
      <c r="C37" s="178"/>
      <c r="D37" s="37">
        <f>SUM(D30:D36)</f>
        <v>3540.43</v>
      </c>
    </row>
    <row r="38" spans="1:4" s="16" customFormat="1" x14ac:dyDescent="0.35">
      <c r="A38" s="38"/>
      <c r="D38" s="18"/>
    </row>
    <row r="39" spans="1:4" s="16" customFormat="1" ht="16" thickBot="1" x14ac:dyDescent="0.4">
      <c r="A39" s="177" t="s">
        <v>21</v>
      </c>
      <c r="B39" s="177"/>
      <c r="C39" s="177"/>
      <c r="D39" s="177"/>
    </row>
    <row r="40" spans="1:4" s="16" customFormat="1" ht="15.5" thickBot="1" x14ac:dyDescent="0.4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ht="15" x14ac:dyDescent="0.35">
      <c r="A41" s="7" t="s">
        <v>7</v>
      </c>
      <c r="B41" s="40" t="s">
        <v>37</v>
      </c>
      <c r="C41" s="2">
        <f>1/12</f>
        <v>8.3299999999999999E-2</v>
      </c>
      <c r="D41" s="13">
        <f>C41*D37</f>
        <v>294.92</v>
      </c>
    </row>
    <row r="42" spans="1:4" s="16" customFormat="1" ht="15.5" thickBot="1" x14ac:dyDescent="0.4">
      <c r="A42" s="7" t="s">
        <v>9</v>
      </c>
      <c r="B42" s="40" t="s">
        <v>78</v>
      </c>
      <c r="C42" s="2">
        <v>0.121</v>
      </c>
      <c r="D42" s="13">
        <f>D37*C42</f>
        <v>428.39</v>
      </c>
    </row>
    <row r="43" spans="1:4" s="16" customFormat="1" ht="15.5" thickBot="1" x14ac:dyDescent="0.4">
      <c r="A43" s="172" t="s">
        <v>35</v>
      </c>
      <c r="B43" s="173"/>
      <c r="C43" s="41">
        <f>SUM(C41:C42)</f>
        <v>0.20430000000000001</v>
      </c>
      <c r="D43" s="12">
        <f>SUM(D41:D42)</f>
        <v>723.31</v>
      </c>
    </row>
    <row r="44" spans="1:4" s="16" customFormat="1" x14ac:dyDescent="0.35">
      <c r="A44" s="38"/>
      <c r="D44" s="18"/>
    </row>
    <row r="45" spans="1:4" s="16" customFormat="1" x14ac:dyDescent="0.35">
      <c r="A45" s="181" t="s">
        <v>120</v>
      </c>
      <c r="B45" s="181"/>
      <c r="C45" s="181"/>
      <c r="D45" s="42">
        <f>D37+D43</f>
        <v>4263.74</v>
      </c>
    </row>
    <row r="46" spans="1:4" s="16" customFormat="1" x14ac:dyDescent="0.35">
      <c r="A46" s="38"/>
      <c r="D46" s="18"/>
    </row>
    <row r="47" spans="1:4" s="16" customFormat="1" ht="16" thickBot="1" x14ac:dyDescent="0.4">
      <c r="A47" s="177" t="s">
        <v>81</v>
      </c>
      <c r="B47" s="177"/>
      <c r="C47" s="177"/>
      <c r="D47" s="177"/>
    </row>
    <row r="48" spans="1:4" s="16" customFormat="1" ht="15.5" thickBot="1" x14ac:dyDescent="0.4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ht="15" x14ac:dyDescent="0.35">
      <c r="A49" s="7" t="s">
        <v>7</v>
      </c>
      <c r="B49" s="40" t="s">
        <v>28</v>
      </c>
      <c r="C49" s="2">
        <v>0.2</v>
      </c>
      <c r="D49" s="13">
        <f>C49*(D37+D43)</f>
        <v>852.75</v>
      </c>
    </row>
    <row r="50" spans="1:4" s="16" customFormat="1" ht="15" x14ac:dyDescent="0.35">
      <c r="A50" s="7" t="s">
        <v>9</v>
      </c>
      <c r="B50" s="43" t="s">
        <v>32</v>
      </c>
      <c r="C50" s="2">
        <v>2.5000000000000001E-2</v>
      </c>
      <c r="D50" s="13">
        <f>C50*(D$37+D43)</f>
        <v>106.59</v>
      </c>
    </row>
    <row r="51" spans="1:4" s="16" customFormat="1" ht="15" x14ac:dyDescent="0.35">
      <c r="A51" s="7" t="s">
        <v>11</v>
      </c>
      <c r="B51" s="5" t="s">
        <v>83</v>
      </c>
      <c r="C51" s="2">
        <v>0.03</v>
      </c>
      <c r="D51" s="13">
        <f>C51*(D$37+D43)</f>
        <v>127.91</v>
      </c>
    </row>
    <row r="52" spans="1:4" s="16" customFormat="1" ht="15" x14ac:dyDescent="0.35">
      <c r="A52" s="4" t="s">
        <v>13</v>
      </c>
      <c r="B52" s="5" t="s">
        <v>29</v>
      </c>
      <c r="C52" s="2">
        <v>1.4999999999999999E-2</v>
      </c>
      <c r="D52" s="13">
        <f>C52*(D$37+D43)</f>
        <v>63.96</v>
      </c>
    </row>
    <row r="53" spans="1:4" s="16" customFormat="1" ht="15" x14ac:dyDescent="0.35">
      <c r="A53" s="4" t="s">
        <v>14</v>
      </c>
      <c r="B53" s="5" t="s">
        <v>30</v>
      </c>
      <c r="C53" s="2">
        <v>0.01</v>
      </c>
      <c r="D53" s="13">
        <f>C53*(D43+D$37)</f>
        <v>42.64</v>
      </c>
    </row>
    <row r="54" spans="1:4" s="16" customFormat="1" ht="15" x14ac:dyDescent="0.35">
      <c r="A54" s="4" t="s">
        <v>16</v>
      </c>
      <c r="B54" s="44" t="s">
        <v>34</v>
      </c>
      <c r="C54" s="2">
        <v>6.0000000000000001E-3</v>
      </c>
      <c r="D54" s="13">
        <f>C54*(D$37+D43)</f>
        <v>25.58</v>
      </c>
    </row>
    <row r="55" spans="1:4" s="16" customFormat="1" ht="15" x14ac:dyDescent="0.35">
      <c r="A55" s="4" t="s">
        <v>17</v>
      </c>
      <c r="B55" s="5" t="s">
        <v>31</v>
      </c>
      <c r="C55" s="2">
        <v>2E-3</v>
      </c>
      <c r="D55" s="13">
        <f>C55*(D$37+D43)</f>
        <v>8.5299999999999994</v>
      </c>
    </row>
    <row r="56" spans="1:4" s="16" customFormat="1" ht="15.5" thickBot="1" x14ac:dyDescent="0.4">
      <c r="A56" s="4" t="s">
        <v>18</v>
      </c>
      <c r="B56" s="5" t="s">
        <v>33</v>
      </c>
      <c r="C56" s="2">
        <v>0.08</v>
      </c>
      <c r="D56" s="13">
        <f>C56*(D$37+D43)</f>
        <v>341.1</v>
      </c>
    </row>
    <row r="57" spans="1:4" s="16" customFormat="1" ht="15.5" thickBot="1" x14ac:dyDescent="0.4">
      <c r="A57" s="172" t="s">
        <v>35</v>
      </c>
      <c r="B57" s="173"/>
      <c r="C57" s="41">
        <f>SUM(C49:C56)</f>
        <v>0.36799999999999999</v>
      </c>
      <c r="D57" s="45">
        <f>SUM(D49:D56)</f>
        <v>1569.06</v>
      </c>
    </row>
    <row r="58" spans="1:4" s="16" customFormat="1" x14ac:dyDescent="0.35">
      <c r="A58" s="38"/>
      <c r="D58" s="18"/>
    </row>
    <row r="59" spans="1:4" s="16" customFormat="1" ht="16" thickBot="1" x14ac:dyDescent="0.4">
      <c r="A59" s="177" t="s">
        <v>84</v>
      </c>
      <c r="B59" s="177"/>
      <c r="C59" s="177"/>
      <c r="D59" s="177"/>
    </row>
    <row r="60" spans="1:4" s="16" customFormat="1" ht="15.5" thickBot="1" x14ac:dyDescent="0.4">
      <c r="A60" s="14" t="s">
        <v>85</v>
      </c>
      <c r="B60" s="15" t="s">
        <v>22</v>
      </c>
      <c r="C60" s="174" t="s">
        <v>6</v>
      </c>
      <c r="D60" s="180"/>
    </row>
    <row r="61" spans="1:4" s="16" customFormat="1" ht="15" x14ac:dyDescent="0.35">
      <c r="A61" s="7" t="s">
        <v>7</v>
      </c>
      <c r="B61" s="40" t="s">
        <v>163</v>
      </c>
      <c r="C61" s="182">
        <f>15*11</f>
        <v>165</v>
      </c>
      <c r="D61" s="183"/>
    </row>
    <row r="62" spans="1:4" s="16" customFormat="1" ht="15" x14ac:dyDescent="0.35">
      <c r="A62" s="4" t="s">
        <v>48</v>
      </c>
      <c r="B62" s="5" t="s">
        <v>49</v>
      </c>
      <c r="C62" s="184">
        <f>-(6%*D30)</f>
        <v>-163.4</v>
      </c>
      <c r="D62" s="185"/>
    </row>
    <row r="63" spans="1:4" s="16" customFormat="1" ht="15" x14ac:dyDescent="0.35">
      <c r="A63" s="4" t="s">
        <v>9</v>
      </c>
      <c r="B63" s="5" t="s">
        <v>182</v>
      </c>
      <c r="C63" s="184">
        <v>710.55</v>
      </c>
      <c r="D63" s="185"/>
    </row>
    <row r="64" spans="1:4" s="16" customFormat="1" ht="15" x14ac:dyDescent="0.35">
      <c r="A64" s="4" t="s">
        <v>134</v>
      </c>
      <c r="B64" s="5" t="s">
        <v>148</v>
      </c>
      <c r="C64" s="184">
        <f>-(47.37*2%)*15</f>
        <v>-14.21</v>
      </c>
      <c r="D64" s="185"/>
    </row>
    <row r="65" spans="1:4" s="16" customFormat="1" ht="15.5" thickBot="1" x14ac:dyDescent="0.4">
      <c r="A65" s="6" t="s">
        <v>11</v>
      </c>
      <c r="B65" s="5" t="s">
        <v>188</v>
      </c>
      <c r="C65" s="191">
        <v>10.34</v>
      </c>
      <c r="D65" s="192"/>
    </row>
    <row r="66" spans="1:4" s="16" customFormat="1" ht="15" customHeight="1" thickBot="1" x14ac:dyDescent="0.4">
      <c r="A66" s="186" t="s">
        <v>23</v>
      </c>
      <c r="B66" s="187"/>
      <c r="C66" s="188">
        <f>SUM(C61:D65)</f>
        <v>708.28</v>
      </c>
      <c r="D66" s="188"/>
    </row>
    <row r="67" spans="1:4" s="16" customFormat="1" x14ac:dyDescent="0.35">
      <c r="A67" s="189"/>
      <c r="B67" s="189"/>
      <c r="C67" s="189"/>
      <c r="D67" s="189"/>
    </row>
    <row r="68" spans="1:4" s="16" customFormat="1" ht="16" thickBot="1" x14ac:dyDescent="0.4">
      <c r="A68" s="190" t="s">
        <v>92</v>
      </c>
      <c r="B68" s="190"/>
      <c r="C68" s="190"/>
      <c r="D68" s="46"/>
    </row>
    <row r="69" spans="1:4" s="16" customFormat="1" ht="15.5" thickBot="1" x14ac:dyDescent="0.4">
      <c r="A69" s="14">
        <v>2</v>
      </c>
      <c r="B69" s="15" t="s">
        <v>86</v>
      </c>
      <c r="C69" s="53" t="s">
        <v>6</v>
      </c>
      <c r="D69" s="47"/>
    </row>
    <row r="70" spans="1:4" s="16" customFormat="1" ht="15" x14ac:dyDescent="0.35">
      <c r="A70" s="6" t="s">
        <v>80</v>
      </c>
      <c r="B70" s="5" t="s">
        <v>79</v>
      </c>
      <c r="C70" s="48">
        <f>D43</f>
        <v>723.31</v>
      </c>
      <c r="D70" s="127"/>
    </row>
    <row r="71" spans="1:4" s="16" customFormat="1" ht="15" x14ac:dyDescent="0.35">
      <c r="A71" s="6" t="s">
        <v>82</v>
      </c>
      <c r="B71" s="5" t="s">
        <v>87</v>
      </c>
      <c r="C71" s="48">
        <f>D57</f>
        <v>1569.06</v>
      </c>
      <c r="D71" s="127"/>
    </row>
    <row r="72" spans="1:4" s="16" customFormat="1" ht="15.5" thickBot="1" x14ac:dyDescent="0.4">
      <c r="A72" s="6" t="s">
        <v>85</v>
      </c>
      <c r="B72" s="5" t="s">
        <v>22</v>
      </c>
      <c r="C72" s="48">
        <f>C66</f>
        <v>708.28</v>
      </c>
      <c r="D72" s="47"/>
    </row>
    <row r="73" spans="1:4" s="16" customFormat="1" ht="15" customHeight="1" thickBot="1" x14ac:dyDescent="0.4">
      <c r="A73" s="179" t="s">
        <v>88</v>
      </c>
      <c r="B73" s="180"/>
      <c r="C73" s="128">
        <f>SUM(C70:C72)</f>
        <v>3000.65</v>
      </c>
      <c r="D73" s="47"/>
    </row>
    <row r="74" spans="1:4" s="16" customFormat="1" ht="15" customHeight="1" x14ac:dyDescent="0.35">
      <c r="A74" s="47"/>
      <c r="B74" s="47"/>
      <c r="C74" s="47"/>
      <c r="D74" s="47"/>
    </row>
    <row r="75" spans="1:4" s="16" customFormat="1" ht="15" customHeight="1" thickBot="1" x14ac:dyDescent="0.4">
      <c r="A75" s="177" t="s">
        <v>89</v>
      </c>
      <c r="B75" s="177"/>
      <c r="C75" s="177"/>
      <c r="D75" s="177"/>
    </row>
    <row r="76" spans="1:4" s="16" customFormat="1" ht="15" customHeight="1" thickBot="1" x14ac:dyDescent="0.4">
      <c r="A76" s="14">
        <v>3</v>
      </c>
      <c r="B76" s="15" t="s">
        <v>38</v>
      </c>
      <c r="C76" s="15" t="s">
        <v>27</v>
      </c>
      <c r="D76" s="39" t="s">
        <v>6</v>
      </c>
    </row>
    <row r="77" spans="1:4" s="16" customFormat="1" ht="15" x14ac:dyDescent="0.35">
      <c r="A77" s="7" t="s">
        <v>7</v>
      </c>
      <c r="B77" s="40" t="s">
        <v>75</v>
      </c>
      <c r="C77" s="3">
        <v>1.8100000000000002E-2</v>
      </c>
      <c r="D77" s="13">
        <f t="shared" ref="D77:D82" si="0">C77*($D$37+$C$73)</f>
        <v>118.39</v>
      </c>
    </row>
    <row r="78" spans="1:4" s="16" customFormat="1" ht="15" customHeight="1" x14ac:dyDescent="0.35">
      <c r="A78" s="4" t="s">
        <v>9</v>
      </c>
      <c r="B78" s="5" t="s">
        <v>74</v>
      </c>
      <c r="C78" s="3">
        <v>1.4E-3</v>
      </c>
      <c r="D78" s="13">
        <f t="shared" si="0"/>
        <v>9.16</v>
      </c>
    </row>
    <row r="79" spans="1:4" s="16" customFormat="1" ht="15" customHeight="1" x14ac:dyDescent="0.35">
      <c r="A79" s="4" t="s">
        <v>11</v>
      </c>
      <c r="B79" s="5" t="s">
        <v>116</v>
      </c>
      <c r="C79" s="3">
        <v>3.4000000000000002E-2</v>
      </c>
      <c r="D79" s="13">
        <f t="shared" si="0"/>
        <v>222.4</v>
      </c>
    </row>
    <row r="80" spans="1:4" s="16" customFormat="1" ht="15" customHeight="1" x14ac:dyDescent="0.35">
      <c r="A80" s="4" t="s">
        <v>13</v>
      </c>
      <c r="B80" s="5" t="s">
        <v>76</v>
      </c>
      <c r="C80" s="3">
        <v>2.8999999999999998E-3</v>
      </c>
      <c r="D80" s="13">
        <f t="shared" si="0"/>
        <v>18.97</v>
      </c>
    </row>
    <row r="81" spans="1:6" s="16" customFormat="1" ht="15" customHeight="1" x14ac:dyDescent="0.35">
      <c r="A81" s="4" t="s">
        <v>14</v>
      </c>
      <c r="B81" s="5" t="s">
        <v>90</v>
      </c>
      <c r="C81" s="3">
        <f>C80*C57</f>
        <v>1.1000000000000001E-3</v>
      </c>
      <c r="D81" s="13">
        <f t="shared" si="0"/>
        <v>7.2</v>
      </c>
    </row>
    <row r="82" spans="1:6" s="16" customFormat="1" ht="15" customHeight="1" thickBot="1" x14ac:dyDescent="0.4">
      <c r="A82" s="35" t="s">
        <v>16</v>
      </c>
      <c r="B82" s="50" t="s">
        <v>111</v>
      </c>
      <c r="C82" s="103">
        <v>6.0000000000000001E-3</v>
      </c>
      <c r="D82" s="13">
        <f t="shared" si="0"/>
        <v>39.25</v>
      </c>
      <c r="F82" s="51"/>
    </row>
    <row r="83" spans="1:6" s="16" customFormat="1" ht="15" customHeight="1" thickBot="1" x14ac:dyDescent="0.4">
      <c r="A83" s="172" t="s">
        <v>35</v>
      </c>
      <c r="B83" s="173"/>
      <c r="C83" s="41">
        <f>SUM(C77:C82)</f>
        <v>6.3500000000000001E-2</v>
      </c>
      <c r="D83" s="12">
        <f>SUM(D77:D82)</f>
        <v>415.37</v>
      </c>
    </row>
    <row r="84" spans="1:6" s="16" customFormat="1" ht="15" customHeight="1" x14ac:dyDescent="0.35">
      <c r="A84" s="52"/>
      <c r="B84" s="52"/>
      <c r="C84" s="52"/>
      <c r="D84" s="52"/>
    </row>
    <row r="85" spans="1:6" s="16" customFormat="1" ht="15" customHeight="1" x14ac:dyDescent="0.35">
      <c r="A85" s="177" t="s">
        <v>91</v>
      </c>
      <c r="B85" s="177"/>
      <c r="C85" s="177"/>
      <c r="D85" s="177"/>
    </row>
    <row r="86" spans="1:6" s="16" customFormat="1" ht="15" customHeight="1" x14ac:dyDescent="0.35">
      <c r="A86" s="177" t="s">
        <v>93</v>
      </c>
      <c r="B86" s="177"/>
      <c r="C86" s="177"/>
      <c r="D86" s="177"/>
    </row>
    <row r="87" spans="1:6" s="16" customFormat="1" ht="15" customHeight="1" x14ac:dyDescent="0.35">
      <c r="A87" s="84" t="s">
        <v>25</v>
      </c>
      <c r="B87" s="84" t="s">
        <v>94</v>
      </c>
      <c r="C87" s="84" t="s">
        <v>27</v>
      </c>
      <c r="D87" s="84" t="s">
        <v>6</v>
      </c>
    </row>
    <row r="88" spans="1:6" s="16" customFormat="1" ht="15" x14ac:dyDescent="0.35">
      <c r="A88" s="6" t="s">
        <v>7</v>
      </c>
      <c r="B88" s="5" t="s">
        <v>117</v>
      </c>
      <c r="C88" s="11">
        <v>9.4999999999999998E-3</v>
      </c>
      <c r="D88" s="95">
        <f>$D$37*C88</f>
        <v>33.630000000000003</v>
      </c>
    </row>
    <row r="89" spans="1:6" s="16" customFormat="1" ht="15" x14ac:dyDescent="0.35">
      <c r="A89" s="6" t="s">
        <v>9</v>
      </c>
      <c r="B89" s="5" t="s">
        <v>95</v>
      </c>
      <c r="C89" s="11">
        <v>3.8800000000000001E-2</v>
      </c>
      <c r="D89" s="95">
        <f t="shared" ref="D89:D92" si="1">$D$37*C89</f>
        <v>137.37</v>
      </c>
    </row>
    <row r="90" spans="1:6" s="16" customFormat="1" ht="15" x14ac:dyDescent="0.35">
      <c r="A90" s="6" t="s">
        <v>11</v>
      </c>
      <c r="B90" s="5" t="s">
        <v>96</v>
      </c>
      <c r="C90" s="11">
        <v>1E-3</v>
      </c>
      <c r="D90" s="95">
        <f t="shared" si="1"/>
        <v>3.54</v>
      </c>
    </row>
    <row r="91" spans="1:6" s="16" customFormat="1" ht="15" x14ac:dyDescent="0.35">
      <c r="A91" s="6" t="s">
        <v>13</v>
      </c>
      <c r="B91" s="5" t="s">
        <v>114</v>
      </c>
      <c r="C91" s="11">
        <v>2.0000000000000001E-4</v>
      </c>
      <c r="D91" s="95">
        <f t="shared" si="1"/>
        <v>0.71</v>
      </c>
    </row>
    <row r="92" spans="1:6" s="16" customFormat="1" ht="15" x14ac:dyDescent="0.35">
      <c r="A92" s="6" t="s">
        <v>14</v>
      </c>
      <c r="B92" s="5" t="s">
        <v>112</v>
      </c>
      <c r="C92" s="11">
        <v>4.1999999999999997E-3</v>
      </c>
      <c r="D92" s="95">
        <f t="shared" si="1"/>
        <v>14.87</v>
      </c>
    </row>
    <row r="93" spans="1:6" s="16" customFormat="1" ht="15" x14ac:dyDescent="0.35">
      <c r="A93" s="6" t="s">
        <v>16</v>
      </c>
      <c r="B93" s="5" t="s">
        <v>19</v>
      </c>
      <c r="C93" s="11"/>
      <c r="D93" s="95">
        <f>C93*($D$37+$C$73+$D$83)</f>
        <v>0</v>
      </c>
    </row>
    <row r="94" spans="1:6" s="16" customFormat="1" ht="15" x14ac:dyDescent="0.35">
      <c r="A94" s="193" t="s">
        <v>35</v>
      </c>
      <c r="B94" s="193"/>
      <c r="C94" s="96">
        <f>SUM(C88:C93)</f>
        <v>5.3699999999999998E-2</v>
      </c>
      <c r="D94" s="95">
        <f>SUM(D88:D93)</f>
        <v>190.12</v>
      </c>
    </row>
    <row r="95" spans="1:6" s="16" customFormat="1" x14ac:dyDescent="0.35"/>
    <row r="96" spans="1:6" s="16" customFormat="1" ht="16" thickBot="1" x14ac:dyDescent="0.4">
      <c r="A96" s="194" t="s">
        <v>97</v>
      </c>
      <c r="B96" s="194"/>
      <c r="C96" s="194"/>
      <c r="D96" s="194"/>
    </row>
    <row r="97" spans="1:4" s="16" customFormat="1" ht="15.5" thickBot="1" x14ac:dyDescent="0.4">
      <c r="A97" s="14" t="s">
        <v>36</v>
      </c>
      <c r="B97" s="15" t="s">
        <v>98</v>
      </c>
      <c r="C97" s="54" t="s">
        <v>6</v>
      </c>
    </row>
    <row r="98" spans="1:4" s="16" customFormat="1" ht="15.5" thickBot="1" x14ac:dyDescent="0.4">
      <c r="A98" s="7" t="s">
        <v>7</v>
      </c>
      <c r="B98" s="40" t="s">
        <v>99</v>
      </c>
      <c r="C98" s="55">
        <v>0</v>
      </c>
    </row>
    <row r="99" spans="1:4" s="16" customFormat="1" ht="15.5" thickBot="1" x14ac:dyDescent="0.4">
      <c r="A99" s="172" t="s">
        <v>35</v>
      </c>
      <c r="B99" s="173"/>
      <c r="C99" s="56"/>
    </row>
    <row r="100" spans="1:4" s="16" customFormat="1" x14ac:dyDescent="0.35"/>
    <row r="101" spans="1:4" s="16" customFormat="1" ht="15" thickBot="1" x14ac:dyDescent="0.4">
      <c r="A101" s="195" t="s">
        <v>100</v>
      </c>
      <c r="B101" s="195"/>
      <c r="C101" s="195"/>
    </row>
    <row r="102" spans="1:4" s="16" customFormat="1" ht="15.5" thickBot="1" x14ac:dyDescent="0.4">
      <c r="A102" s="14">
        <v>4</v>
      </c>
      <c r="B102" s="15" t="s">
        <v>39</v>
      </c>
      <c r="C102" s="54" t="s">
        <v>6</v>
      </c>
    </row>
    <row r="103" spans="1:4" s="16" customFormat="1" ht="15" x14ac:dyDescent="0.35">
      <c r="A103" s="4" t="s">
        <v>25</v>
      </c>
      <c r="B103" s="40" t="s">
        <v>94</v>
      </c>
      <c r="C103" s="55">
        <f>D94</f>
        <v>190.12</v>
      </c>
    </row>
    <row r="104" spans="1:4" s="16" customFormat="1" ht="15.5" thickBot="1" x14ac:dyDescent="0.4">
      <c r="A104" s="4" t="s">
        <v>36</v>
      </c>
      <c r="B104" s="57" t="s">
        <v>98</v>
      </c>
      <c r="C104" s="55">
        <f>C98</f>
        <v>0</v>
      </c>
    </row>
    <row r="105" spans="1:4" s="16" customFormat="1" ht="15.5" thickBot="1" x14ac:dyDescent="0.4">
      <c r="A105" s="172" t="s">
        <v>35</v>
      </c>
      <c r="B105" s="173"/>
      <c r="C105" s="58">
        <f>SUM(C103:C104)</f>
        <v>190.12</v>
      </c>
    </row>
    <row r="106" spans="1:4" s="16" customFormat="1" x14ac:dyDescent="0.35">
      <c r="A106" s="38"/>
      <c r="D106" s="18"/>
    </row>
    <row r="107" spans="1:4" s="16" customFormat="1" ht="16" thickBot="1" x14ac:dyDescent="0.4">
      <c r="A107" s="177" t="s">
        <v>101</v>
      </c>
      <c r="B107" s="177"/>
      <c r="C107" s="177"/>
      <c r="D107" s="177"/>
    </row>
    <row r="108" spans="1:4" s="16" customFormat="1" ht="15.5" thickBot="1" x14ac:dyDescent="0.4">
      <c r="A108" s="14">
        <v>5</v>
      </c>
      <c r="B108" s="174" t="s">
        <v>24</v>
      </c>
      <c r="C108" s="178"/>
      <c r="D108" s="31" t="s">
        <v>6</v>
      </c>
    </row>
    <row r="109" spans="1:4" s="16" customFormat="1" ht="15" x14ac:dyDescent="0.35">
      <c r="A109" s="7" t="s">
        <v>7</v>
      </c>
      <c r="B109" s="162" t="s">
        <v>73</v>
      </c>
      <c r="C109" s="163"/>
      <c r="D109" s="32">
        <v>181.65</v>
      </c>
    </row>
    <row r="110" spans="1:4" s="16" customFormat="1" ht="15" x14ac:dyDescent="0.35">
      <c r="A110" s="7" t="s">
        <v>9</v>
      </c>
      <c r="B110" s="125" t="s">
        <v>187</v>
      </c>
      <c r="C110" s="126"/>
      <c r="D110" s="32">
        <f>'Equipamentos - uso comum '!K25</f>
        <v>17.12</v>
      </c>
    </row>
    <row r="111" spans="1:4" s="16" customFormat="1" ht="15" x14ac:dyDescent="0.35">
      <c r="A111" s="4" t="s">
        <v>11</v>
      </c>
      <c r="B111" s="164" t="s">
        <v>186</v>
      </c>
      <c r="C111" s="165"/>
      <c r="D111" s="33">
        <f>'Equipamentos - vigilante armado'!K25</f>
        <v>207.74</v>
      </c>
    </row>
    <row r="112" spans="1:4" s="16" customFormat="1" ht="15.5" thickBot="1" x14ac:dyDescent="0.4">
      <c r="A112" s="35" t="s">
        <v>13</v>
      </c>
      <c r="B112" s="166" t="s">
        <v>19</v>
      </c>
      <c r="C112" s="167"/>
      <c r="D112" s="36"/>
    </row>
    <row r="113" spans="1:4" s="16" customFormat="1" ht="15.75" customHeight="1" thickBot="1" x14ac:dyDescent="0.4">
      <c r="A113" s="179" t="s">
        <v>63</v>
      </c>
      <c r="B113" s="180"/>
      <c r="C113" s="178"/>
      <c r="D113" s="37">
        <f>SUM(D109:D112)</f>
        <v>406.51</v>
      </c>
    </row>
    <row r="114" spans="1:4" s="16" customFormat="1" x14ac:dyDescent="0.35"/>
    <row r="115" spans="1:4" s="16" customFormat="1" ht="16" thickBot="1" x14ac:dyDescent="0.4">
      <c r="A115" s="177" t="s">
        <v>102</v>
      </c>
      <c r="B115" s="177"/>
      <c r="C115" s="177"/>
      <c r="D115" s="177"/>
    </row>
    <row r="116" spans="1:4" s="16" customFormat="1" ht="15.5" thickBot="1" x14ac:dyDescent="0.4">
      <c r="A116" s="14">
        <v>5</v>
      </c>
      <c r="B116" s="15" t="s">
        <v>40</v>
      </c>
      <c r="C116" s="53" t="s">
        <v>27</v>
      </c>
      <c r="D116" s="39" t="s">
        <v>6</v>
      </c>
    </row>
    <row r="117" spans="1:4" s="16" customFormat="1" ht="15" x14ac:dyDescent="0.35">
      <c r="A117" s="7" t="s">
        <v>7</v>
      </c>
      <c r="B117" s="8" t="s">
        <v>41</v>
      </c>
      <c r="C117" s="9">
        <v>1.6199999999999999E-2</v>
      </c>
      <c r="D117" s="59">
        <f>C117*D133</f>
        <v>122.36</v>
      </c>
    </row>
    <row r="118" spans="1:4" s="16" customFormat="1" ht="15" x14ac:dyDescent="0.35">
      <c r="A118" s="4" t="s">
        <v>9</v>
      </c>
      <c r="B118" s="10" t="s">
        <v>44</v>
      </c>
      <c r="C118" s="9">
        <v>1.3899999999999999E-2</v>
      </c>
      <c r="D118" s="59">
        <f>C118*(D117+$D$133)</f>
        <v>106.69</v>
      </c>
    </row>
    <row r="119" spans="1:4" s="16" customFormat="1" ht="15" x14ac:dyDescent="0.35">
      <c r="A119" s="4" t="s">
        <v>11</v>
      </c>
      <c r="B119" s="5" t="s">
        <v>42</v>
      </c>
      <c r="C119" s="60">
        <f>SUM(C120:C123)</f>
        <v>8.6499999999999994E-2</v>
      </c>
      <c r="D119" s="61"/>
    </row>
    <row r="120" spans="1:4" s="16" customFormat="1" ht="15" x14ac:dyDescent="0.35">
      <c r="A120" s="4" t="s">
        <v>59</v>
      </c>
      <c r="B120" s="5" t="s">
        <v>43</v>
      </c>
      <c r="C120" s="62">
        <v>0</v>
      </c>
      <c r="D120" s="61"/>
    </row>
    <row r="121" spans="1:4" s="16" customFormat="1" ht="15" x14ac:dyDescent="0.35">
      <c r="A121" s="4" t="s">
        <v>60</v>
      </c>
      <c r="B121" s="5" t="s">
        <v>50</v>
      </c>
      <c r="C121" s="62">
        <v>6.4999999999999997E-3</v>
      </c>
      <c r="D121" s="61">
        <f>(D133+D117+D118)/(1-C119)*C121</f>
        <v>55.37</v>
      </c>
    </row>
    <row r="122" spans="1:4" s="16" customFormat="1" ht="15" x14ac:dyDescent="0.35">
      <c r="A122" s="4" t="s">
        <v>61</v>
      </c>
      <c r="B122" s="5" t="s">
        <v>51</v>
      </c>
      <c r="C122" s="62">
        <v>0.03</v>
      </c>
      <c r="D122" s="61">
        <f>(D133+D117+D118)/(1-C119)*C122</f>
        <v>255.57</v>
      </c>
    </row>
    <row r="123" spans="1:4" s="16" customFormat="1" ht="15.5" thickBot="1" x14ac:dyDescent="0.4">
      <c r="A123" s="4" t="s">
        <v>103</v>
      </c>
      <c r="B123" s="43" t="s">
        <v>113</v>
      </c>
      <c r="C123" s="62">
        <v>0.05</v>
      </c>
      <c r="D123" s="61">
        <f>(D133+D117+D118)/(1-C119)*C123</f>
        <v>425.95</v>
      </c>
    </row>
    <row r="124" spans="1:4" s="16" customFormat="1" ht="15.5" thickBot="1" x14ac:dyDescent="0.4">
      <c r="A124" s="172" t="s">
        <v>35</v>
      </c>
      <c r="B124" s="173"/>
      <c r="C124" s="173"/>
      <c r="D124" s="63">
        <f>SUM(D117:D123)</f>
        <v>965.94</v>
      </c>
    </row>
    <row r="125" spans="1:4" s="16" customFormat="1" ht="15.75" customHeight="1" x14ac:dyDescent="0.35">
      <c r="A125" s="38"/>
      <c r="D125" s="18"/>
    </row>
    <row r="126" spans="1:4" s="16" customFormat="1" ht="16" thickBot="1" x14ac:dyDescent="0.4">
      <c r="A126" s="202" t="s">
        <v>110</v>
      </c>
      <c r="B126" s="202"/>
      <c r="C126" s="202"/>
      <c r="D126" s="202"/>
    </row>
    <row r="127" spans="1:4" s="16" customFormat="1" ht="15.75" customHeight="1" thickBot="1" x14ac:dyDescent="0.4">
      <c r="A127" s="179" t="s">
        <v>45</v>
      </c>
      <c r="B127" s="180"/>
      <c r="C127" s="178"/>
      <c r="D127" s="39" t="s">
        <v>46</v>
      </c>
    </row>
    <row r="128" spans="1:4" s="16" customFormat="1" ht="15" x14ac:dyDescent="0.35">
      <c r="A128" s="7" t="s">
        <v>7</v>
      </c>
      <c r="B128" s="162" t="s">
        <v>47</v>
      </c>
      <c r="C128" s="163"/>
      <c r="D128" s="64">
        <f>D37</f>
        <v>3540.43</v>
      </c>
    </row>
    <row r="129" spans="1:4" s="16" customFormat="1" ht="15" x14ac:dyDescent="0.35">
      <c r="A129" s="4" t="s">
        <v>9</v>
      </c>
      <c r="B129" s="164" t="s">
        <v>104</v>
      </c>
      <c r="C129" s="165"/>
      <c r="D129" s="65">
        <f>C73</f>
        <v>3000.65</v>
      </c>
    </row>
    <row r="130" spans="1:4" s="16" customFormat="1" ht="15" x14ac:dyDescent="0.35">
      <c r="A130" s="4" t="s">
        <v>11</v>
      </c>
      <c r="B130" s="164" t="s">
        <v>105</v>
      </c>
      <c r="C130" s="165"/>
      <c r="D130" s="65">
        <f>D83</f>
        <v>415.37</v>
      </c>
    </row>
    <row r="131" spans="1:4" s="16" customFormat="1" ht="15" customHeight="1" x14ac:dyDescent="0.35">
      <c r="A131" s="4" t="s">
        <v>13</v>
      </c>
      <c r="B131" s="66" t="s">
        <v>106</v>
      </c>
      <c r="C131" s="67"/>
      <c r="D131" s="65">
        <f>C105</f>
        <v>190.12</v>
      </c>
    </row>
    <row r="132" spans="1:4" s="16" customFormat="1" ht="15" x14ac:dyDescent="0.35">
      <c r="A132" s="4" t="s">
        <v>14</v>
      </c>
      <c r="B132" s="164" t="s">
        <v>107</v>
      </c>
      <c r="C132" s="165"/>
      <c r="D132" s="65">
        <f>D113</f>
        <v>406.51</v>
      </c>
    </row>
    <row r="133" spans="1:4" s="16" customFormat="1" ht="15" customHeight="1" x14ac:dyDescent="0.35">
      <c r="A133" s="196" t="s">
        <v>108</v>
      </c>
      <c r="B133" s="197"/>
      <c r="C133" s="198"/>
      <c r="D133" s="65">
        <f>SUM(D128:D132)</f>
        <v>7553.08</v>
      </c>
    </row>
    <row r="134" spans="1:4" s="16" customFormat="1" ht="15.75" customHeight="1" x14ac:dyDescent="0.35">
      <c r="A134" s="35" t="s">
        <v>16</v>
      </c>
      <c r="B134" s="199" t="s">
        <v>109</v>
      </c>
      <c r="C134" s="200"/>
      <c r="D134" s="68">
        <f>D124</f>
        <v>965.94</v>
      </c>
    </row>
    <row r="135" spans="1:4" s="16" customFormat="1" ht="15" customHeight="1" x14ac:dyDescent="0.35">
      <c r="A135" s="193" t="s">
        <v>118</v>
      </c>
      <c r="B135" s="193"/>
      <c r="C135" s="193"/>
      <c r="D135" s="69">
        <f>SUM(D133:D134)</f>
        <v>8519.02</v>
      </c>
    </row>
    <row r="136" spans="1:4" s="16" customFormat="1" ht="15.75" customHeight="1" thickBot="1" x14ac:dyDescent="0.4">
      <c r="A136" s="186" t="s">
        <v>119</v>
      </c>
      <c r="B136" s="187"/>
      <c r="C136" s="201"/>
      <c r="D136" s="70">
        <f>SUM(D133:D134)*2</f>
        <v>17038.04</v>
      </c>
    </row>
  </sheetData>
  <mergeCells count="74">
    <mergeCell ref="A133:C133"/>
    <mergeCell ref="B134:C134"/>
    <mergeCell ref="A135:C135"/>
    <mergeCell ref="A136:C136"/>
    <mergeCell ref="A126:D126"/>
    <mergeCell ref="A127:C127"/>
    <mergeCell ref="B128:C128"/>
    <mergeCell ref="B129:C129"/>
    <mergeCell ref="B130:C130"/>
    <mergeCell ref="B132:C132"/>
    <mergeCell ref="B111:C111"/>
    <mergeCell ref="B112:C112"/>
    <mergeCell ref="A113:C113"/>
    <mergeCell ref="A115:D115"/>
    <mergeCell ref="A124:C124"/>
    <mergeCell ref="B109:C109"/>
    <mergeCell ref="A75:D75"/>
    <mergeCell ref="A83:B83"/>
    <mergeCell ref="A85:D85"/>
    <mergeCell ref="A86:D86"/>
    <mergeCell ref="A94:B94"/>
    <mergeCell ref="A96:D96"/>
    <mergeCell ref="A99:B99"/>
    <mergeCell ref="A101:C101"/>
    <mergeCell ref="A105:B105"/>
    <mergeCell ref="A107:D107"/>
    <mergeCell ref="B108:C108"/>
    <mergeCell ref="A73:B73"/>
    <mergeCell ref="C60:D60"/>
    <mergeCell ref="C61:D61"/>
    <mergeCell ref="C62:D62"/>
    <mergeCell ref="C63:D63"/>
    <mergeCell ref="C64:D64"/>
    <mergeCell ref="A66:B66"/>
    <mergeCell ref="C66:D66"/>
    <mergeCell ref="A67:D67"/>
    <mergeCell ref="A68:C68"/>
    <mergeCell ref="C65:D65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62B9E-87B9-4BFB-8B3F-C842DFBC2247}">
  <dimension ref="A1:F136"/>
  <sheetViews>
    <sheetView showGridLines="0" view="pageBreakPreview" topLeftCell="A23" zoomScaleNormal="90" zoomScaleSheetLayoutView="100" workbookViewId="0">
      <selection activeCell="D122" sqref="D122"/>
    </sheetView>
  </sheetViews>
  <sheetFormatPr defaultColWidth="9.089843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6328125" style="1" bestFit="1" customWidth="1"/>
    <col min="6" max="6" width="17.90625" customWidth="1"/>
  </cols>
  <sheetData>
    <row r="1" spans="1:4" s="16" customFormat="1" ht="27" customHeight="1" x14ac:dyDescent="0.35">
      <c r="A1" s="148" t="s">
        <v>209</v>
      </c>
      <c r="B1" s="149"/>
      <c r="C1" s="149"/>
      <c r="D1" s="149"/>
    </row>
    <row r="2" spans="1:4" s="16" customFormat="1" ht="99" customHeight="1" thickBot="1" x14ac:dyDescent="0.4">
      <c r="A2" s="150"/>
      <c r="B2" s="150"/>
      <c r="C2" s="150"/>
      <c r="D2" s="150"/>
    </row>
    <row r="3" spans="1:4" s="16" customFormat="1" ht="15" customHeight="1" x14ac:dyDescent="0.35">
      <c r="A3" s="151" t="s">
        <v>52</v>
      </c>
      <c r="B3" s="152"/>
      <c r="C3" s="152"/>
      <c r="D3" s="152"/>
    </row>
    <row r="4" spans="1:4" s="16" customFormat="1" ht="15.75" customHeight="1" thickBot="1" x14ac:dyDescent="0.4">
      <c r="A4" s="153"/>
      <c r="B4" s="154"/>
      <c r="C4" s="154"/>
      <c r="D4" s="154"/>
    </row>
    <row r="5" spans="1:4" s="16" customFormat="1" ht="15" thickBot="1" x14ac:dyDescent="0.4">
      <c r="A5" s="17"/>
      <c r="D5" s="18"/>
    </row>
    <row r="6" spans="1:4" s="16" customFormat="1" ht="15" x14ac:dyDescent="0.35">
      <c r="A6" s="19" t="s">
        <v>65</v>
      </c>
      <c r="B6" s="155" t="s">
        <v>179</v>
      </c>
      <c r="C6" s="155"/>
      <c r="D6" s="155"/>
    </row>
    <row r="7" spans="1:4" s="16" customFormat="1" ht="15" x14ac:dyDescent="0.35">
      <c r="A7" s="20" t="s">
        <v>64</v>
      </c>
      <c r="B7" s="156" t="s">
        <v>169</v>
      </c>
      <c r="C7" s="157"/>
      <c r="D7" s="157"/>
    </row>
    <row r="8" spans="1:4" s="16" customFormat="1" ht="15.5" thickBot="1" x14ac:dyDescent="0.4">
      <c r="A8" s="21" t="s">
        <v>66</v>
      </c>
      <c r="B8" s="158" t="s">
        <v>169</v>
      </c>
      <c r="C8" s="158"/>
      <c r="D8" s="158"/>
    </row>
    <row r="9" spans="1:4" s="16" customFormat="1" ht="15.5" thickBot="1" x14ac:dyDescent="0.4">
      <c r="A9" s="22"/>
      <c r="B9" s="22"/>
      <c r="C9" s="22"/>
      <c r="D9" s="18"/>
    </row>
    <row r="10" spans="1:4" s="16" customFormat="1" ht="15.5" thickBot="1" x14ac:dyDescent="0.4">
      <c r="A10" s="159" t="s">
        <v>53</v>
      </c>
      <c r="B10" s="160"/>
      <c r="C10" s="160"/>
      <c r="D10" s="161"/>
    </row>
    <row r="11" spans="1:4" s="16" customFormat="1" ht="15" x14ac:dyDescent="0.35">
      <c r="A11" s="7" t="s">
        <v>7</v>
      </c>
      <c r="B11" s="162" t="s">
        <v>54</v>
      </c>
      <c r="C11" s="163"/>
      <c r="D11" s="8"/>
    </row>
    <row r="12" spans="1:4" s="16" customFormat="1" ht="15" x14ac:dyDescent="0.35">
      <c r="A12" s="4" t="s">
        <v>9</v>
      </c>
      <c r="B12" s="164" t="s">
        <v>55</v>
      </c>
      <c r="C12" s="165"/>
      <c r="D12" s="23" t="s">
        <v>162</v>
      </c>
    </row>
    <row r="13" spans="1:4" s="16" customFormat="1" ht="15" x14ac:dyDescent="0.35">
      <c r="A13" s="4" t="s">
        <v>11</v>
      </c>
      <c r="B13" s="164" t="s">
        <v>62</v>
      </c>
      <c r="C13" s="165"/>
      <c r="D13" s="23" t="s">
        <v>180</v>
      </c>
    </row>
    <row r="14" spans="1:4" s="16" customFormat="1" ht="15" customHeight="1" x14ac:dyDescent="0.35">
      <c r="A14" s="4" t="s">
        <v>13</v>
      </c>
      <c r="B14" s="164" t="s">
        <v>56</v>
      </c>
      <c r="C14" s="165"/>
      <c r="D14" s="23" t="s">
        <v>181</v>
      </c>
    </row>
    <row r="15" spans="1:4" s="16" customFormat="1" ht="15.5" thickBot="1" x14ac:dyDescent="0.4">
      <c r="A15" s="24" t="s">
        <v>14</v>
      </c>
      <c r="B15" s="166" t="s">
        <v>57</v>
      </c>
      <c r="C15" s="167"/>
      <c r="D15" s="25">
        <v>60</v>
      </c>
    </row>
    <row r="16" spans="1:4" s="16" customFormat="1" ht="15.5" thickBot="1" x14ac:dyDescent="0.4">
      <c r="A16" s="22"/>
      <c r="B16" s="22"/>
      <c r="C16" s="22"/>
      <c r="D16" s="18"/>
    </row>
    <row r="17" spans="1:6" s="16" customFormat="1" ht="15.5" thickBot="1" x14ac:dyDescent="0.4">
      <c r="A17" s="146" t="s">
        <v>58</v>
      </c>
      <c r="B17" s="147"/>
      <c r="C17" s="147"/>
      <c r="D17" s="147"/>
    </row>
    <row r="18" spans="1:6" s="16" customFormat="1" ht="15" x14ac:dyDescent="0.35">
      <c r="A18" s="168" t="s">
        <v>67</v>
      </c>
      <c r="B18" s="169"/>
      <c r="C18" s="26" t="s">
        <v>68</v>
      </c>
      <c r="D18" s="27" t="s">
        <v>69</v>
      </c>
    </row>
    <row r="19" spans="1:6" s="16" customFormat="1" ht="15.75" customHeight="1" thickBot="1" x14ac:dyDescent="0.4">
      <c r="A19" s="170" t="s">
        <v>135</v>
      </c>
      <c r="B19" s="171"/>
      <c r="C19" s="28" t="s">
        <v>70</v>
      </c>
      <c r="D19" s="25">
        <v>12</v>
      </c>
    </row>
    <row r="20" spans="1:6" s="16" customFormat="1" ht="15" thickBot="1" x14ac:dyDescent="0.4">
      <c r="A20" s="18"/>
      <c r="D20" s="18"/>
    </row>
    <row r="21" spans="1:6" s="16" customFormat="1" ht="15.75" customHeight="1" thickBot="1" x14ac:dyDescent="0.4">
      <c r="A21" s="172" t="s">
        <v>0</v>
      </c>
      <c r="B21" s="173"/>
      <c r="C21" s="173"/>
      <c r="D21" s="174"/>
    </row>
    <row r="22" spans="1:6" s="16" customFormat="1" ht="15" x14ac:dyDescent="0.35">
      <c r="A22" s="7">
        <v>1</v>
      </c>
      <c r="B22" s="162" t="s">
        <v>1</v>
      </c>
      <c r="C22" s="163"/>
      <c r="D22" s="29" t="str">
        <f>A19</f>
        <v>Vigilante Diurno 12x36</v>
      </c>
    </row>
    <row r="23" spans="1:6" s="16" customFormat="1" ht="15" x14ac:dyDescent="0.35">
      <c r="A23" s="4">
        <v>2</v>
      </c>
      <c r="B23" s="164" t="s">
        <v>121</v>
      </c>
      <c r="C23" s="165"/>
      <c r="D23" s="101">
        <v>2723.41</v>
      </c>
    </row>
    <row r="24" spans="1:6" s="16" customFormat="1" ht="15" x14ac:dyDescent="0.35">
      <c r="A24" s="4">
        <v>3</v>
      </c>
      <c r="B24" s="175" t="s">
        <v>115</v>
      </c>
      <c r="C24" s="176"/>
      <c r="D24" s="23" t="str">
        <f>A19</f>
        <v>Vigilante Diurno 12x36</v>
      </c>
    </row>
    <row r="25" spans="1:6" s="16" customFormat="1" ht="15" x14ac:dyDescent="0.35">
      <c r="A25" s="4">
        <v>4</v>
      </c>
      <c r="B25" s="164" t="s">
        <v>2</v>
      </c>
      <c r="C25" s="165"/>
      <c r="D25" s="30" t="s">
        <v>183</v>
      </c>
    </row>
    <row r="26" spans="1:6" s="16" customFormat="1" ht="15.5" thickBot="1" x14ac:dyDescent="0.4">
      <c r="A26" s="24">
        <v>5</v>
      </c>
      <c r="B26" s="166" t="s">
        <v>71</v>
      </c>
      <c r="C26" s="167"/>
      <c r="D26" s="23">
        <v>16</v>
      </c>
    </row>
    <row r="27" spans="1:6" s="16" customFormat="1" ht="15" x14ac:dyDescent="0.35">
      <c r="A27" s="22"/>
      <c r="D27" s="18"/>
    </row>
    <row r="28" spans="1:6" s="16" customFormat="1" ht="16" thickBot="1" x14ac:dyDescent="0.4">
      <c r="A28" s="177" t="s">
        <v>3</v>
      </c>
      <c r="B28" s="177"/>
      <c r="C28" s="177"/>
      <c r="D28" s="177"/>
    </row>
    <row r="29" spans="1:6" s="16" customFormat="1" ht="15.5" thickBot="1" x14ac:dyDescent="0.4">
      <c r="A29" s="14" t="s">
        <v>4</v>
      </c>
      <c r="B29" s="174" t="s">
        <v>5</v>
      </c>
      <c r="C29" s="178"/>
      <c r="D29" s="31" t="s">
        <v>6</v>
      </c>
    </row>
    <row r="30" spans="1:6" s="16" customFormat="1" ht="15" x14ac:dyDescent="0.35">
      <c r="A30" s="7" t="s">
        <v>7</v>
      </c>
      <c r="B30" s="162" t="s">
        <v>8</v>
      </c>
      <c r="C30" s="163"/>
      <c r="D30" s="101">
        <v>2723.41</v>
      </c>
    </row>
    <row r="31" spans="1:6" s="16" customFormat="1" ht="15" x14ac:dyDescent="0.35">
      <c r="A31" s="4" t="s">
        <v>9</v>
      </c>
      <c r="B31" s="164" t="s">
        <v>10</v>
      </c>
      <c r="C31" s="165"/>
      <c r="D31" s="33">
        <f>D30*30%</f>
        <v>817.02</v>
      </c>
    </row>
    <row r="32" spans="1:6" s="16" customFormat="1" ht="15" x14ac:dyDescent="0.35">
      <c r="A32" s="4" t="s">
        <v>11</v>
      </c>
      <c r="B32" s="164" t="s">
        <v>12</v>
      </c>
      <c r="C32" s="165"/>
      <c r="D32" s="33"/>
      <c r="F32" s="34"/>
    </row>
    <row r="33" spans="1:4" s="16" customFormat="1" ht="15" x14ac:dyDescent="0.35">
      <c r="A33" s="4" t="s">
        <v>13</v>
      </c>
      <c r="B33" s="164" t="s">
        <v>72</v>
      </c>
      <c r="C33" s="165"/>
      <c r="D33" s="33">
        <v>337.95</v>
      </c>
    </row>
    <row r="34" spans="1:4" s="16" customFormat="1" ht="15" x14ac:dyDescent="0.35">
      <c r="A34" s="4" t="s">
        <v>14</v>
      </c>
      <c r="B34" s="164" t="s">
        <v>15</v>
      </c>
      <c r="C34" s="165"/>
      <c r="D34" s="33">
        <v>48.27</v>
      </c>
    </row>
    <row r="35" spans="1:4" s="16" customFormat="1" ht="15.75" customHeight="1" x14ac:dyDescent="0.35">
      <c r="A35" s="4" t="s">
        <v>16</v>
      </c>
      <c r="B35" s="175" t="s">
        <v>77</v>
      </c>
      <c r="C35" s="176"/>
      <c r="D35" s="33"/>
    </row>
    <row r="36" spans="1:4" s="16" customFormat="1" ht="15.5" thickBot="1" x14ac:dyDescent="0.4">
      <c r="A36" s="35" t="s">
        <v>17</v>
      </c>
      <c r="B36" s="166" t="s">
        <v>19</v>
      </c>
      <c r="C36" s="167"/>
      <c r="D36" s="36"/>
    </row>
    <row r="37" spans="1:4" s="16" customFormat="1" ht="15.75" customHeight="1" thickBot="1" x14ac:dyDescent="0.4">
      <c r="A37" s="179" t="s">
        <v>20</v>
      </c>
      <c r="B37" s="180"/>
      <c r="C37" s="178"/>
      <c r="D37" s="37">
        <f>SUM(D30:D36)</f>
        <v>3926.65</v>
      </c>
    </row>
    <row r="38" spans="1:4" s="16" customFormat="1" x14ac:dyDescent="0.35">
      <c r="A38" s="38"/>
      <c r="D38" s="18"/>
    </row>
    <row r="39" spans="1:4" s="16" customFormat="1" ht="16" thickBot="1" x14ac:dyDescent="0.4">
      <c r="A39" s="177" t="s">
        <v>21</v>
      </c>
      <c r="B39" s="177"/>
      <c r="C39" s="177"/>
      <c r="D39" s="177"/>
    </row>
    <row r="40" spans="1:4" s="16" customFormat="1" ht="15.5" thickBot="1" x14ac:dyDescent="0.4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ht="15" x14ac:dyDescent="0.35">
      <c r="A41" s="7" t="s">
        <v>7</v>
      </c>
      <c r="B41" s="40" t="s">
        <v>37</v>
      </c>
      <c r="C41" s="2">
        <f>1/12</f>
        <v>8.3299999999999999E-2</v>
      </c>
      <c r="D41" s="13">
        <f>C41*D37</f>
        <v>327.08999999999997</v>
      </c>
    </row>
    <row r="42" spans="1:4" s="16" customFormat="1" ht="15.5" thickBot="1" x14ac:dyDescent="0.4">
      <c r="A42" s="7" t="s">
        <v>9</v>
      </c>
      <c r="B42" s="40" t="s">
        <v>78</v>
      </c>
      <c r="C42" s="2">
        <v>0.121</v>
      </c>
      <c r="D42" s="13">
        <f>D37*C42</f>
        <v>475.12</v>
      </c>
    </row>
    <row r="43" spans="1:4" s="16" customFormat="1" ht="15.5" thickBot="1" x14ac:dyDescent="0.4">
      <c r="A43" s="172" t="s">
        <v>35</v>
      </c>
      <c r="B43" s="173"/>
      <c r="C43" s="41">
        <f>SUM(C41:C42)</f>
        <v>0.20430000000000001</v>
      </c>
      <c r="D43" s="12">
        <f>SUM(D41:D42)</f>
        <v>802.21</v>
      </c>
    </row>
    <row r="44" spans="1:4" s="16" customFormat="1" x14ac:dyDescent="0.35">
      <c r="A44" s="38"/>
      <c r="D44" s="18"/>
    </row>
    <row r="45" spans="1:4" s="16" customFormat="1" x14ac:dyDescent="0.35">
      <c r="A45" s="181" t="s">
        <v>120</v>
      </c>
      <c r="B45" s="181"/>
      <c r="C45" s="181"/>
      <c r="D45" s="42">
        <f>D37+D43</f>
        <v>4728.8599999999997</v>
      </c>
    </row>
    <row r="46" spans="1:4" s="16" customFormat="1" x14ac:dyDescent="0.35">
      <c r="A46" s="38"/>
      <c r="D46" s="18"/>
    </row>
    <row r="47" spans="1:4" s="16" customFormat="1" ht="16" thickBot="1" x14ac:dyDescent="0.4">
      <c r="A47" s="177" t="s">
        <v>81</v>
      </c>
      <c r="B47" s="177"/>
      <c r="C47" s="177"/>
      <c r="D47" s="177"/>
    </row>
    <row r="48" spans="1:4" s="16" customFormat="1" ht="15.5" thickBot="1" x14ac:dyDescent="0.4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ht="15" x14ac:dyDescent="0.35">
      <c r="A49" s="7" t="s">
        <v>7</v>
      </c>
      <c r="B49" s="40" t="s">
        <v>28</v>
      </c>
      <c r="C49" s="2">
        <v>0.2</v>
      </c>
      <c r="D49" s="13">
        <f>C49*(D37+D43)</f>
        <v>945.77</v>
      </c>
    </row>
    <row r="50" spans="1:4" s="16" customFormat="1" ht="15" x14ac:dyDescent="0.35">
      <c r="A50" s="7" t="s">
        <v>9</v>
      </c>
      <c r="B50" s="43" t="s">
        <v>32</v>
      </c>
      <c r="C50" s="2">
        <v>2.5000000000000001E-2</v>
      </c>
      <c r="D50" s="13">
        <f>C50*(D$37+D43)</f>
        <v>118.22</v>
      </c>
    </row>
    <row r="51" spans="1:4" s="16" customFormat="1" ht="15" x14ac:dyDescent="0.35">
      <c r="A51" s="7" t="s">
        <v>11</v>
      </c>
      <c r="B51" s="5" t="s">
        <v>83</v>
      </c>
      <c r="C51" s="2">
        <v>0.03</v>
      </c>
      <c r="D51" s="13">
        <f>C51*(D$37+D43)</f>
        <v>141.87</v>
      </c>
    </row>
    <row r="52" spans="1:4" s="16" customFormat="1" ht="15" x14ac:dyDescent="0.35">
      <c r="A52" s="4" t="s">
        <v>13</v>
      </c>
      <c r="B52" s="5" t="s">
        <v>29</v>
      </c>
      <c r="C52" s="2">
        <v>1.4999999999999999E-2</v>
      </c>
      <c r="D52" s="13">
        <f>C52*(D$37+D43)</f>
        <v>70.930000000000007</v>
      </c>
    </row>
    <row r="53" spans="1:4" s="16" customFormat="1" ht="15" x14ac:dyDescent="0.35">
      <c r="A53" s="4" t="s">
        <v>14</v>
      </c>
      <c r="B53" s="5" t="s">
        <v>30</v>
      </c>
      <c r="C53" s="2">
        <v>0.01</v>
      </c>
      <c r="D53" s="13">
        <f>C53*(D43+D$37)</f>
        <v>47.29</v>
      </c>
    </row>
    <row r="54" spans="1:4" s="16" customFormat="1" ht="15" x14ac:dyDescent="0.35">
      <c r="A54" s="4" t="s">
        <v>16</v>
      </c>
      <c r="B54" s="44" t="s">
        <v>34</v>
      </c>
      <c r="C54" s="2">
        <v>6.0000000000000001E-3</v>
      </c>
      <c r="D54" s="13">
        <f>C54*(D$37+D43)</f>
        <v>28.37</v>
      </c>
    </row>
    <row r="55" spans="1:4" s="16" customFormat="1" ht="15" x14ac:dyDescent="0.35">
      <c r="A55" s="4" t="s">
        <v>17</v>
      </c>
      <c r="B55" s="5" t="s">
        <v>31</v>
      </c>
      <c r="C55" s="2">
        <v>2E-3</v>
      </c>
      <c r="D55" s="13">
        <f>C55*(D$37+D43)</f>
        <v>9.4600000000000009</v>
      </c>
    </row>
    <row r="56" spans="1:4" s="16" customFormat="1" ht="15.5" thickBot="1" x14ac:dyDescent="0.4">
      <c r="A56" s="4" t="s">
        <v>18</v>
      </c>
      <c r="B56" s="5" t="s">
        <v>33</v>
      </c>
      <c r="C56" s="2">
        <v>0.08</v>
      </c>
      <c r="D56" s="13">
        <f>C56*(D$37+D43)</f>
        <v>378.31</v>
      </c>
    </row>
    <row r="57" spans="1:4" s="16" customFormat="1" ht="15.5" thickBot="1" x14ac:dyDescent="0.4">
      <c r="A57" s="172" t="s">
        <v>35</v>
      </c>
      <c r="B57" s="173"/>
      <c r="C57" s="41">
        <f>SUM(C49:C56)</f>
        <v>0.36799999999999999</v>
      </c>
      <c r="D57" s="45">
        <f>SUM(D49:D56)</f>
        <v>1740.22</v>
      </c>
    </row>
    <row r="58" spans="1:4" s="16" customFormat="1" x14ac:dyDescent="0.35">
      <c r="A58" s="38"/>
      <c r="D58" s="18"/>
    </row>
    <row r="59" spans="1:4" s="16" customFormat="1" ht="16" thickBot="1" x14ac:dyDescent="0.4">
      <c r="A59" s="177" t="s">
        <v>84</v>
      </c>
      <c r="B59" s="177"/>
      <c r="C59" s="177"/>
      <c r="D59" s="177"/>
    </row>
    <row r="60" spans="1:4" s="16" customFormat="1" ht="15.5" thickBot="1" x14ac:dyDescent="0.4">
      <c r="A60" s="14" t="s">
        <v>85</v>
      </c>
      <c r="B60" s="15" t="s">
        <v>22</v>
      </c>
      <c r="C60" s="174" t="s">
        <v>6</v>
      </c>
      <c r="D60" s="180"/>
    </row>
    <row r="61" spans="1:4" s="16" customFormat="1" ht="15" x14ac:dyDescent="0.35">
      <c r="A61" s="7" t="s">
        <v>7</v>
      </c>
      <c r="B61" s="40" t="s">
        <v>163</v>
      </c>
      <c r="C61" s="182">
        <v>165</v>
      </c>
      <c r="D61" s="183"/>
    </row>
    <row r="62" spans="1:4" s="16" customFormat="1" ht="15" x14ac:dyDescent="0.35">
      <c r="A62" s="4" t="s">
        <v>48</v>
      </c>
      <c r="B62" s="5" t="s">
        <v>49</v>
      </c>
      <c r="C62" s="184">
        <f>-(6%*D30)</f>
        <v>-163.4</v>
      </c>
      <c r="D62" s="185"/>
    </row>
    <row r="63" spans="1:4" s="16" customFormat="1" ht="15" x14ac:dyDescent="0.35">
      <c r="A63" s="4" t="s">
        <v>9</v>
      </c>
      <c r="B63" s="5" t="s">
        <v>182</v>
      </c>
      <c r="C63" s="184">
        <v>710.55</v>
      </c>
      <c r="D63" s="185"/>
    </row>
    <row r="64" spans="1:4" s="16" customFormat="1" ht="15" x14ac:dyDescent="0.35">
      <c r="A64" s="4" t="s">
        <v>134</v>
      </c>
      <c r="B64" s="5" t="s">
        <v>148</v>
      </c>
      <c r="C64" s="184">
        <f>-(47.37*2%)*15</f>
        <v>-14.21</v>
      </c>
      <c r="D64" s="185"/>
    </row>
    <row r="65" spans="1:4" s="16" customFormat="1" ht="15.5" thickBot="1" x14ac:dyDescent="0.4">
      <c r="A65" s="6" t="s">
        <v>11</v>
      </c>
      <c r="B65" s="5" t="s">
        <v>188</v>
      </c>
      <c r="C65" s="191">
        <v>10.34</v>
      </c>
      <c r="D65" s="192"/>
    </row>
    <row r="66" spans="1:4" s="16" customFormat="1" ht="15" customHeight="1" thickBot="1" x14ac:dyDescent="0.4">
      <c r="A66" s="186" t="s">
        <v>23</v>
      </c>
      <c r="B66" s="187"/>
      <c r="C66" s="188">
        <f>SUM(C61:D65)</f>
        <v>708.28</v>
      </c>
      <c r="D66" s="188"/>
    </row>
    <row r="67" spans="1:4" s="16" customFormat="1" x14ac:dyDescent="0.35">
      <c r="A67" s="189"/>
      <c r="B67" s="189"/>
      <c r="C67" s="189"/>
      <c r="D67" s="189"/>
    </row>
    <row r="68" spans="1:4" s="16" customFormat="1" ht="16" thickBot="1" x14ac:dyDescent="0.4">
      <c r="A68" s="190" t="s">
        <v>92</v>
      </c>
      <c r="B68" s="190"/>
      <c r="C68" s="190"/>
      <c r="D68" s="46"/>
    </row>
    <row r="69" spans="1:4" s="16" customFormat="1" ht="15.5" thickBot="1" x14ac:dyDescent="0.4">
      <c r="A69" s="14">
        <v>2</v>
      </c>
      <c r="B69" s="15" t="s">
        <v>86</v>
      </c>
      <c r="C69" s="15" t="s">
        <v>6</v>
      </c>
      <c r="D69" s="47"/>
    </row>
    <row r="70" spans="1:4" s="16" customFormat="1" ht="15" x14ac:dyDescent="0.35">
      <c r="A70" s="6" t="s">
        <v>80</v>
      </c>
      <c r="B70" s="5" t="s">
        <v>79</v>
      </c>
      <c r="C70" s="48">
        <f>D43</f>
        <v>802.21</v>
      </c>
      <c r="D70" s="47"/>
    </row>
    <row r="71" spans="1:4" s="16" customFormat="1" ht="15" x14ac:dyDescent="0.35">
      <c r="A71" s="6" t="s">
        <v>82</v>
      </c>
      <c r="B71" s="5" t="s">
        <v>87</v>
      </c>
      <c r="C71" s="48">
        <f>D57</f>
        <v>1740.22</v>
      </c>
      <c r="D71" s="47"/>
    </row>
    <row r="72" spans="1:4" s="16" customFormat="1" ht="15.5" thickBot="1" x14ac:dyDescent="0.4">
      <c r="A72" s="6" t="s">
        <v>85</v>
      </c>
      <c r="B72" s="5" t="s">
        <v>22</v>
      </c>
      <c r="C72" s="48">
        <f>C66</f>
        <v>708.28</v>
      </c>
      <c r="D72" s="47"/>
    </row>
    <row r="73" spans="1:4" s="16" customFormat="1" ht="15" customHeight="1" thickBot="1" x14ac:dyDescent="0.4">
      <c r="A73" s="179" t="s">
        <v>88</v>
      </c>
      <c r="B73" s="180"/>
      <c r="C73" s="49">
        <f>SUM(C70:C72)</f>
        <v>3250.71</v>
      </c>
      <c r="D73" s="47"/>
    </row>
    <row r="74" spans="1:4" s="16" customFormat="1" ht="15" customHeight="1" x14ac:dyDescent="0.35">
      <c r="A74" s="47"/>
      <c r="B74" s="47"/>
      <c r="C74" s="47"/>
      <c r="D74" s="47"/>
    </row>
    <row r="75" spans="1:4" s="16" customFormat="1" ht="15" customHeight="1" thickBot="1" x14ac:dyDescent="0.4">
      <c r="A75" s="177" t="s">
        <v>89</v>
      </c>
      <c r="B75" s="177"/>
      <c r="C75" s="177"/>
      <c r="D75" s="177"/>
    </row>
    <row r="76" spans="1:4" s="16" customFormat="1" ht="15" customHeight="1" thickBot="1" x14ac:dyDescent="0.4">
      <c r="A76" s="14">
        <v>3</v>
      </c>
      <c r="B76" s="15" t="s">
        <v>38</v>
      </c>
      <c r="C76" s="15" t="s">
        <v>27</v>
      </c>
      <c r="D76" s="39" t="s">
        <v>6</v>
      </c>
    </row>
    <row r="77" spans="1:4" s="16" customFormat="1" ht="15" x14ac:dyDescent="0.35">
      <c r="A77" s="7" t="s">
        <v>7</v>
      </c>
      <c r="B77" s="40" t="s">
        <v>75</v>
      </c>
      <c r="C77" s="3">
        <v>1.8100000000000002E-2</v>
      </c>
      <c r="D77" s="13">
        <f t="shared" ref="D77:D82" si="0">C77*($D$37+$C$73)</f>
        <v>129.91</v>
      </c>
    </row>
    <row r="78" spans="1:4" s="16" customFormat="1" ht="15" customHeight="1" x14ac:dyDescent="0.35">
      <c r="A78" s="4" t="s">
        <v>9</v>
      </c>
      <c r="B78" s="5" t="s">
        <v>74</v>
      </c>
      <c r="C78" s="3">
        <v>1.4E-3</v>
      </c>
      <c r="D78" s="13">
        <f t="shared" si="0"/>
        <v>10.050000000000001</v>
      </c>
    </row>
    <row r="79" spans="1:4" s="16" customFormat="1" ht="15" customHeight="1" x14ac:dyDescent="0.35">
      <c r="A79" s="4" t="s">
        <v>11</v>
      </c>
      <c r="B79" s="5" t="s">
        <v>116</v>
      </c>
      <c r="C79" s="3">
        <v>3.4000000000000002E-2</v>
      </c>
      <c r="D79" s="13">
        <f t="shared" si="0"/>
        <v>244.03</v>
      </c>
    </row>
    <row r="80" spans="1:4" s="16" customFormat="1" ht="15" customHeight="1" x14ac:dyDescent="0.35">
      <c r="A80" s="4" t="s">
        <v>13</v>
      </c>
      <c r="B80" s="5" t="s">
        <v>76</v>
      </c>
      <c r="C80" s="3">
        <v>2.8999999999999998E-3</v>
      </c>
      <c r="D80" s="13">
        <f t="shared" si="0"/>
        <v>20.81</v>
      </c>
    </row>
    <row r="81" spans="1:6" s="16" customFormat="1" ht="15" customHeight="1" x14ac:dyDescent="0.35">
      <c r="A81" s="4" t="s">
        <v>14</v>
      </c>
      <c r="B81" s="5" t="s">
        <v>90</v>
      </c>
      <c r="C81" s="3">
        <f>C80*C57</f>
        <v>1.1000000000000001E-3</v>
      </c>
      <c r="D81" s="13">
        <f t="shared" si="0"/>
        <v>7.9</v>
      </c>
    </row>
    <row r="82" spans="1:6" s="16" customFormat="1" ht="15" customHeight="1" thickBot="1" x14ac:dyDescent="0.4">
      <c r="A82" s="35" t="s">
        <v>16</v>
      </c>
      <c r="B82" s="50" t="s">
        <v>111</v>
      </c>
      <c r="C82" s="103">
        <v>6.0000000000000001E-3</v>
      </c>
      <c r="D82" s="13">
        <f t="shared" si="0"/>
        <v>43.06</v>
      </c>
      <c r="F82" s="51"/>
    </row>
    <row r="83" spans="1:6" s="16" customFormat="1" ht="15" customHeight="1" thickBot="1" x14ac:dyDescent="0.4">
      <c r="A83" s="172" t="s">
        <v>35</v>
      </c>
      <c r="B83" s="173"/>
      <c r="C83" s="41">
        <f>SUM(C77:C82)</f>
        <v>6.3500000000000001E-2</v>
      </c>
      <c r="D83" s="12">
        <f>SUM(D77:D82)</f>
        <v>455.76</v>
      </c>
    </row>
    <row r="84" spans="1:6" s="16" customFormat="1" ht="15" customHeight="1" x14ac:dyDescent="0.35">
      <c r="A84" s="52"/>
      <c r="B84" s="52"/>
      <c r="C84" s="52"/>
      <c r="D84" s="52"/>
    </row>
    <row r="85" spans="1:6" s="16" customFormat="1" ht="15" customHeight="1" x14ac:dyDescent="0.35">
      <c r="A85" s="177" t="s">
        <v>91</v>
      </c>
      <c r="B85" s="177"/>
      <c r="C85" s="177"/>
      <c r="D85" s="177"/>
    </row>
    <row r="86" spans="1:6" s="16" customFormat="1" ht="15" customHeight="1" x14ac:dyDescent="0.35">
      <c r="A86" s="177" t="s">
        <v>93</v>
      </c>
      <c r="B86" s="177"/>
      <c r="C86" s="177"/>
      <c r="D86" s="177"/>
    </row>
    <row r="87" spans="1:6" s="16" customFormat="1" ht="15" customHeight="1" x14ac:dyDescent="0.35">
      <c r="A87" s="84" t="s">
        <v>25</v>
      </c>
      <c r="B87" s="84" t="s">
        <v>94</v>
      </c>
      <c r="C87" s="84" t="s">
        <v>27</v>
      </c>
      <c r="D87" s="84" t="s">
        <v>6</v>
      </c>
    </row>
    <row r="88" spans="1:6" s="16" customFormat="1" ht="15" x14ac:dyDescent="0.35">
      <c r="A88" s="6" t="s">
        <v>7</v>
      </c>
      <c r="B88" s="5" t="s">
        <v>117</v>
      </c>
      <c r="C88" s="11">
        <v>9.4999999999999998E-3</v>
      </c>
      <c r="D88" s="95">
        <f>$D$37*C88</f>
        <v>37.299999999999997</v>
      </c>
    </row>
    <row r="89" spans="1:6" s="16" customFormat="1" ht="15" x14ac:dyDescent="0.35">
      <c r="A89" s="6" t="s">
        <v>9</v>
      </c>
      <c r="B89" s="5" t="s">
        <v>95</v>
      </c>
      <c r="C89" s="11">
        <v>3.8800000000000001E-2</v>
      </c>
      <c r="D89" s="95">
        <f t="shared" ref="D89:D92" si="1">$D$37*C89</f>
        <v>152.35</v>
      </c>
    </row>
    <row r="90" spans="1:6" s="16" customFormat="1" ht="15" x14ac:dyDescent="0.35">
      <c r="A90" s="6" t="s">
        <v>11</v>
      </c>
      <c r="B90" s="5" t="s">
        <v>96</v>
      </c>
      <c r="C90" s="11">
        <v>1E-3</v>
      </c>
      <c r="D90" s="95">
        <f t="shared" si="1"/>
        <v>3.93</v>
      </c>
    </row>
    <row r="91" spans="1:6" s="16" customFormat="1" ht="15" x14ac:dyDescent="0.35">
      <c r="A91" s="6" t="s">
        <v>13</v>
      </c>
      <c r="B91" s="5" t="s">
        <v>114</v>
      </c>
      <c r="C91" s="11">
        <v>2.0000000000000001E-4</v>
      </c>
      <c r="D91" s="95">
        <f t="shared" si="1"/>
        <v>0.79</v>
      </c>
    </row>
    <row r="92" spans="1:6" s="16" customFormat="1" ht="15" x14ac:dyDescent="0.35">
      <c r="A92" s="6" t="s">
        <v>14</v>
      </c>
      <c r="B92" s="5" t="s">
        <v>112</v>
      </c>
      <c r="C92" s="11">
        <v>4.1999999999999997E-3</v>
      </c>
      <c r="D92" s="95">
        <f t="shared" si="1"/>
        <v>16.489999999999998</v>
      </c>
    </row>
    <row r="93" spans="1:6" s="16" customFormat="1" ht="15" x14ac:dyDescent="0.35">
      <c r="A93" s="6" t="s">
        <v>16</v>
      </c>
      <c r="B93" s="5" t="s">
        <v>19</v>
      </c>
      <c r="C93" s="11"/>
      <c r="D93" s="95">
        <f>C93*($D$37+$C$73+$D$83)</f>
        <v>0</v>
      </c>
    </row>
    <row r="94" spans="1:6" s="16" customFormat="1" ht="15" x14ac:dyDescent="0.35">
      <c r="A94" s="193" t="s">
        <v>35</v>
      </c>
      <c r="B94" s="193"/>
      <c r="C94" s="96">
        <f>SUM(C88:C93)</f>
        <v>5.3699999999999998E-2</v>
      </c>
      <c r="D94" s="95">
        <f>SUM(D88:D93)</f>
        <v>210.86</v>
      </c>
    </row>
    <row r="95" spans="1:6" s="16" customFormat="1" x14ac:dyDescent="0.35"/>
    <row r="96" spans="1:6" s="16" customFormat="1" ht="16" thickBot="1" x14ac:dyDescent="0.4">
      <c r="A96" s="194" t="s">
        <v>97</v>
      </c>
      <c r="B96" s="194"/>
      <c r="C96" s="194"/>
      <c r="D96" s="194"/>
    </row>
    <row r="97" spans="1:4" s="16" customFormat="1" ht="15.5" thickBot="1" x14ac:dyDescent="0.4">
      <c r="A97" s="14" t="s">
        <v>36</v>
      </c>
      <c r="B97" s="15" t="s">
        <v>98</v>
      </c>
      <c r="C97" s="54" t="s">
        <v>6</v>
      </c>
    </row>
    <row r="98" spans="1:4" s="16" customFormat="1" ht="15.5" thickBot="1" x14ac:dyDescent="0.4">
      <c r="A98" s="7" t="s">
        <v>7</v>
      </c>
      <c r="B98" s="40" t="s">
        <v>99</v>
      </c>
      <c r="C98" s="55">
        <v>0</v>
      </c>
    </row>
    <row r="99" spans="1:4" s="16" customFormat="1" ht="15.5" thickBot="1" x14ac:dyDescent="0.4">
      <c r="A99" s="172" t="s">
        <v>35</v>
      </c>
      <c r="B99" s="173"/>
      <c r="C99" s="56"/>
    </row>
    <row r="100" spans="1:4" s="16" customFormat="1" x14ac:dyDescent="0.35"/>
    <row r="101" spans="1:4" s="16" customFormat="1" ht="15" thickBot="1" x14ac:dyDescent="0.4">
      <c r="A101" s="195" t="s">
        <v>100</v>
      </c>
      <c r="B101" s="195"/>
      <c r="C101" s="195"/>
    </row>
    <row r="102" spans="1:4" s="16" customFormat="1" ht="15.5" thickBot="1" x14ac:dyDescent="0.4">
      <c r="A102" s="14">
        <v>4</v>
      </c>
      <c r="B102" s="15" t="s">
        <v>39</v>
      </c>
      <c r="C102" s="54" t="s">
        <v>6</v>
      </c>
    </row>
    <row r="103" spans="1:4" s="16" customFormat="1" ht="15" x14ac:dyDescent="0.35">
      <c r="A103" s="4" t="s">
        <v>25</v>
      </c>
      <c r="B103" s="40" t="s">
        <v>94</v>
      </c>
      <c r="C103" s="55">
        <f>D94</f>
        <v>210.86</v>
      </c>
    </row>
    <row r="104" spans="1:4" s="16" customFormat="1" ht="15.5" thickBot="1" x14ac:dyDescent="0.4">
      <c r="A104" s="4" t="s">
        <v>36</v>
      </c>
      <c r="B104" s="57" t="s">
        <v>98</v>
      </c>
      <c r="C104" s="55">
        <f>C98</f>
        <v>0</v>
      </c>
    </row>
    <row r="105" spans="1:4" s="16" customFormat="1" ht="15.5" thickBot="1" x14ac:dyDescent="0.4">
      <c r="A105" s="172" t="s">
        <v>35</v>
      </c>
      <c r="B105" s="173"/>
      <c r="C105" s="58">
        <f>SUM(C103:C104)</f>
        <v>210.86</v>
      </c>
    </row>
    <row r="106" spans="1:4" s="16" customFormat="1" x14ac:dyDescent="0.35">
      <c r="A106" s="38"/>
      <c r="D106" s="18"/>
    </row>
    <row r="107" spans="1:4" s="16" customFormat="1" ht="16" thickBot="1" x14ac:dyDescent="0.4">
      <c r="A107" s="177" t="s">
        <v>101</v>
      </c>
      <c r="B107" s="177"/>
      <c r="C107" s="177"/>
      <c r="D107" s="177"/>
    </row>
    <row r="108" spans="1:4" s="16" customFormat="1" ht="15.5" thickBot="1" x14ac:dyDescent="0.4">
      <c r="A108" s="14">
        <v>5</v>
      </c>
      <c r="B108" s="174" t="s">
        <v>24</v>
      </c>
      <c r="C108" s="178"/>
      <c r="D108" s="31" t="s">
        <v>6</v>
      </c>
    </row>
    <row r="109" spans="1:4" s="16" customFormat="1" ht="15" x14ac:dyDescent="0.35">
      <c r="A109" s="7" t="s">
        <v>7</v>
      </c>
      <c r="B109" s="162" t="s">
        <v>73</v>
      </c>
      <c r="C109" s="163"/>
      <c r="D109" s="32">
        <v>181.65</v>
      </c>
    </row>
    <row r="110" spans="1:4" s="16" customFormat="1" ht="15" x14ac:dyDescent="0.35">
      <c r="A110" s="7" t="s">
        <v>9</v>
      </c>
      <c r="B110" s="125" t="s">
        <v>164</v>
      </c>
      <c r="C110" s="126"/>
      <c r="D110" s="32">
        <f>'Equipamentos - uso comum '!K25</f>
        <v>17.12</v>
      </c>
    </row>
    <row r="111" spans="1:4" s="16" customFormat="1" ht="15" x14ac:dyDescent="0.35">
      <c r="A111" s="4" t="s">
        <v>11</v>
      </c>
      <c r="B111" s="164" t="s">
        <v>186</v>
      </c>
      <c r="C111" s="165"/>
      <c r="D111" s="33">
        <f>'Equipamentos - vigilante armado'!K25</f>
        <v>207.74</v>
      </c>
    </row>
    <row r="112" spans="1:4" s="16" customFormat="1" ht="15.5" thickBot="1" x14ac:dyDescent="0.4">
      <c r="A112" s="35" t="s">
        <v>13</v>
      </c>
      <c r="B112" s="166" t="s">
        <v>19</v>
      </c>
      <c r="C112" s="167"/>
      <c r="D112" s="36"/>
    </row>
    <row r="113" spans="1:4" s="16" customFormat="1" ht="15.75" customHeight="1" thickBot="1" x14ac:dyDescent="0.4">
      <c r="A113" s="179" t="s">
        <v>63</v>
      </c>
      <c r="B113" s="180"/>
      <c r="C113" s="178"/>
      <c r="D113" s="37">
        <f>SUM(D109:D112)</f>
        <v>406.51</v>
      </c>
    </row>
    <row r="114" spans="1:4" s="16" customFormat="1" x14ac:dyDescent="0.35"/>
    <row r="115" spans="1:4" s="16" customFormat="1" ht="16" thickBot="1" x14ac:dyDescent="0.4">
      <c r="A115" s="177" t="s">
        <v>102</v>
      </c>
      <c r="B115" s="177"/>
      <c r="C115" s="177"/>
      <c r="D115" s="177"/>
    </row>
    <row r="116" spans="1:4" s="16" customFormat="1" ht="15.5" thickBot="1" x14ac:dyDescent="0.4">
      <c r="A116" s="14">
        <v>5</v>
      </c>
      <c r="B116" s="15" t="s">
        <v>40</v>
      </c>
      <c r="C116" s="53" t="s">
        <v>27</v>
      </c>
      <c r="D116" s="39" t="s">
        <v>6</v>
      </c>
    </row>
    <row r="117" spans="1:4" s="16" customFormat="1" ht="15" x14ac:dyDescent="0.35">
      <c r="A117" s="7" t="s">
        <v>7</v>
      </c>
      <c r="B117" s="8" t="s">
        <v>41</v>
      </c>
      <c r="C117" s="9">
        <v>1.6199999999999999E-2</v>
      </c>
      <c r="D117" s="59">
        <f>C117*$D$133</f>
        <v>133.66</v>
      </c>
    </row>
    <row r="118" spans="1:4" s="16" customFormat="1" ht="15" x14ac:dyDescent="0.35">
      <c r="A118" s="4" t="s">
        <v>9</v>
      </c>
      <c r="B118" s="10" t="s">
        <v>44</v>
      </c>
      <c r="C118" s="9">
        <v>1.3899999999999999E-2</v>
      </c>
      <c r="D118" s="59">
        <f>C118*(D117+$D$133)</f>
        <v>116.54</v>
      </c>
    </row>
    <row r="119" spans="1:4" s="16" customFormat="1" ht="15" x14ac:dyDescent="0.35">
      <c r="A119" s="4" t="s">
        <v>11</v>
      </c>
      <c r="B119" s="5" t="s">
        <v>42</v>
      </c>
      <c r="C119" s="60">
        <f>SUM(C120:C123)</f>
        <v>8.6499999999999994E-2</v>
      </c>
      <c r="D119" s="61"/>
    </row>
    <row r="120" spans="1:4" s="16" customFormat="1" ht="15" x14ac:dyDescent="0.35">
      <c r="A120" s="4" t="s">
        <v>59</v>
      </c>
      <c r="B120" s="5" t="s">
        <v>43</v>
      </c>
      <c r="C120" s="62">
        <v>0</v>
      </c>
      <c r="D120" s="61"/>
    </row>
    <row r="121" spans="1:4" s="16" customFormat="1" ht="15" x14ac:dyDescent="0.35">
      <c r="A121" s="4" t="s">
        <v>60</v>
      </c>
      <c r="B121" s="5" t="s">
        <v>50</v>
      </c>
      <c r="C121" s="62">
        <v>6.4999999999999997E-3</v>
      </c>
      <c r="D121" s="61">
        <f>(D133+D117+D118)/(1-C119)*C121</f>
        <v>60.49</v>
      </c>
    </row>
    <row r="122" spans="1:4" s="16" customFormat="1" ht="15" x14ac:dyDescent="0.35">
      <c r="A122" s="4" t="s">
        <v>61</v>
      </c>
      <c r="B122" s="5" t="s">
        <v>51</v>
      </c>
      <c r="C122" s="62">
        <v>0.03</v>
      </c>
      <c r="D122" s="61">
        <f>(D133+D117+D118)/(1-C119)*C122</f>
        <v>279.17</v>
      </c>
    </row>
    <row r="123" spans="1:4" s="16" customFormat="1" ht="15.5" thickBot="1" x14ac:dyDescent="0.4">
      <c r="A123" s="4" t="s">
        <v>103</v>
      </c>
      <c r="B123" s="43" t="s">
        <v>113</v>
      </c>
      <c r="C123" s="62">
        <v>0.05</v>
      </c>
      <c r="D123" s="61">
        <f>(D133+D117+D118)/(1-C119)*C123</f>
        <v>465.28</v>
      </c>
    </row>
    <row r="124" spans="1:4" s="16" customFormat="1" ht="15.5" thickBot="1" x14ac:dyDescent="0.4">
      <c r="A124" s="172" t="s">
        <v>35</v>
      </c>
      <c r="B124" s="173"/>
      <c r="C124" s="173"/>
      <c r="D124" s="63">
        <f>SUM(D117:D123)</f>
        <v>1055.1400000000001</v>
      </c>
    </row>
    <row r="125" spans="1:4" s="16" customFormat="1" ht="15.75" customHeight="1" x14ac:dyDescent="0.35">
      <c r="A125" s="38"/>
      <c r="D125" s="18"/>
    </row>
    <row r="126" spans="1:4" s="16" customFormat="1" ht="16" thickBot="1" x14ac:dyDescent="0.4">
      <c r="A126" s="202" t="s">
        <v>110</v>
      </c>
      <c r="B126" s="202"/>
      <c r="C126" s="202"/>
      <c r="D126" s="202"/>
    </row>
    <row r="127" spans="1:4" s="16" customFormat="1" ht="15.75" customHeight="1" thickBot="1" x14ac:dyDescent="0.4">
      <c r="A127" s="179" t="s">
        <v>45</v>
      </c>
      <c r="B127" s="180"/>
      <c r="C127" s="178"/>
      <c r="D127" s="39" t="s">
        <v>46</v>
      </c>
    </row>
    <row r="128" spans="1:4" s="16" customFormat="1" ht="15" x14ac:dyDescent="0.35">
      <c r="A128" s="7" t="s">
        <v>7</v>
      </c>
      <c r="B128" s="162" t="s">
        <v>47</v>
      </c>
      <c r="C128" s="163"/>
      <c r="D128" s="64">
        <f>D37</f>
        <v>3926.65</v>
      </c>
    </row>
    <row r="129" spans="1:4" s="16" customFormat="1" ht="15" x14ac:dyDescent="0.35">
      <c r="A129" s="4" t="s">
        <v>9</v>
      </c>
      <c r="B129" s="164" t="s">
        <v>104</v>
      </c>
      <c r="C129" s="165"/>
      <c r="D129" s="65">
        <f>C73</f>
        <v>3250.71</v>
      </c>
    </row>
    <row r="130" spans="1:4" s="16" customFormat="1" ht="15" x14ac:dyDescent="0.35">
      <c r="A130" s="4" t="s">
        <v>11</v>
      </c>
      <c r="B130" s="164" t="s">
        <v>105</v>
      </c>
      <c r="C130" s="165"/>
      <c r="D130" s="65">
        <f>D83</f>
        <v>455.76</v>
      </c>
    </row>
    <row r="131" spans="1:4" s="16" customFormat="1" ht="15" customHeight="1" x14ac:dyDescent="0.35">
      <c r="A131" s="4" t="s">
        <v>13</v>
      </c>
      <c r="B131" s="66" t="s">
        <v>106</v>
      </c>
      <c r="C131" s="67"/>
      <c r="D131" s="65">
        <f>C105</f>
        <v>210.86</v>
      </c>
    </row>
    <row r="132" spans="1:4" s="16" customFormat="1" ht="15" x14ac:dyDescent="0.35">
      <c r="A132" s="4" t="s">
        <v>14</v>
      </c>
      <c r="B132" s="164" t="s">
        <v>107</v>
      </c>
      <c r="C132" s="165"/>
      <c r="D132" s="65">
        <f>D113</f>
        <v>406.51</v>
      </c>
    </row>
    <row r="133" spans="1:4" s="16" customFormat="1" ht="15" customHeight="1" x14ac:dyDescent="0.35">
      <c r="A133" s="196" t="s">
        <v>108</v>
      </c>
      <c r="B133" s="197"/>
      <c r="C133" s="198"/>
      <c r="D133" s="65">
        <f>SUM(D128:D132)</f>
        <v>8250.49</v>
      </c>
    </row>
    <row r="134" spans="1:4" s="16" customFormat="1" ht="15.75" customHeight="1" x14ac:dyDescent="0.35">
      <c r="A134" s="35" t="s">
        <v>16</v>
      </c>
      <c r="B134" s="199" t="s">
        <v>109</v>
      </c>
      <c r="C134" s="200"/>
      <c r="D134" s="68">
        <f>D124</f>
        <v>1055.1400000000001</v>
      </c>
    </row>
    <row r="135" spans="1:4" s="16" customFormat="1" ht="15" customHeight="1" x14ac:dyDescent="0.35">
      <c r="A135" s="193" t="s">
        <v>118</v>
      </c>
      <c r="B135" s="193"/>
      <c r="C135" s="193"/>
      <c r="D135" s="69">
        <f>SUM(D133:D134)</f>
        <v>9305.6299999999992</v>
      </c>
    </row>
    <row r="136" spans="1:4" s="16" customFormat="1" ht="15.75" customHeight="1" thickBot="1" x14ac:dyDescent="0.4">
      <c r="A136" s="186" t="s">
        <v>119</v>
      </c>
      <c r="B136" s="187"/>
      <c r="C136" s="201"/>
      <c r="D136" s="70">
        <f>SUM(D133:D134)*2</f>
        <v>18611.259999999998</v>
      </c>
    </row>
  </sheetData>
  <mergeCells count="74">
    <mergeCell ref="A133:C133"/>
    <mergeCell ref="B134:C134"/>
    <mergeCell ref="A135:C135"/>
    <mergeCell ref="A136:C136"/>
    <mergeCell ref="A126:D126"/>
    <mergeCell ref="A127:C127"/>
    <mergeCell ref="B128:C128"/>
    <mergeCell ref="B129:C129"/>
    <mergeCell ref="B130:C130"/>
    <mergeCell ref="B132:C132"/>
    <mergeCell ref="B111:C111"/>
    <mergeCell ref="B112:C112"/>
    <mergeCell ref="A113:C113"/>
    <mergeCell ref="A115:D115"/>
    <mergeCell ref="A124:C124"/>
    <mergeCell ref="B109:C109"/>
    <mergeCell ref="A75:D75"/>
    <mergeCell ref="A83:B83"/>
    <mergeCell ref="A85:D85"/>
    <mergeCell ref="A86:D86"/>
    <mergeCell ref="A94:B94"/>
    <mergeCell ref="A96:D96"/>
    <mergeCell ref="A99:B99"/>
    <mergeCell ref="A101:C101"/>
    <mergeCell ref="A105:B105"/>
    <mergeCell ref="A107:D107"/>
    <mergeCell ref="B108:C108"/>
    <mergeCell ref="A73:B73"/>
    <mergeCell ref="C60:D60"/>
    <mergeCell ref="C61:D61"/>
    <mergeCell ref="C62:D62"/>
    <mergeCell ref="C63:D63"/>
    <mergeCell ref="C64:D64"/>
    <mergeCell ref="A66:B66"/>
    <mergeCell ref="C66:D66"/>
    <mergeCell ref="A67:D67"/>
    <mergeCell ref="A68:C68"/>
    <mergeCell ref="C65:D65"/>
    <mergeCell ref="A59:D59"/>
    <mergeCell ref="B32:C32"/>
    <mergeCell ref="B33:C33"/>
    <mergeCell ref="B34:C34"/>
    <mergeCell ref="B35:C35"/>
    <mergeCell ref="B36:C36"/>
    <mergeCell ref="A37:C37"/>
    <mergeCell ref="A39:D39"/>
    <mergeCell ref="A43:B43"/>
    <mergeCell ref="A45:C45"/>
    <mergeCell ref="A47:D47"/>
    <mergeCell ref="A57:B57"/>
    <mergeCell ref="B31:C31"/>
    <mergeCell ref="A18:B18"/>
    <mergeCell ref="A19:B19"/>
    <mergeCell ref="A21:D21"/>
    <mergeCell ref="B22:C22"/>
    <mergeCell ref="B23:C23"/>
    <mergeCell ref="B24:C24"/>
    <mergeCell ref="B25:C25"/>
    <mergeCell ref="B26:C26"/>
    <mergeCell ref="A28:D28"/>
    <mergeCell ref="B29:C29"/>
    <mergeCell ref="B30:C30"/>
    <mergeCell ref="A17:D17"/>
    <mergeCell ref="A1:D2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5"/>
  <sheetViews>
    <sheetView showGridLines="0" view="pageBreakPreview" topLeftCell="A102" zoomScale="85" zoomScaleNormal="90" zoomScaleSheetLayoutView="85" workbookViewId="0">
      <selection activeCell="D111" sqref="D111"/>
    </sheetView>
  </sheetViews>
  <sheetFormatPr defaultColWidth="9.089843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6328125" style="1" bestFit="1" customWidth="1"/>
    <col min="6" max="6" width="17.90625" customWidth="1"/>
  </cols>
  <sheetData>
    <row r="1" spans="1:4" s="16" customFormat="1" ht="27" customHeight="1" x14ac:dyDescent="0.35">
      <c r="A1" s="148" t="s">
        <v>209</v>
      </c>
      <c r="B1" s="149"/>
      <c r="C1" s="149"/>
      <c r="D1" s="149"/>
    </row>
    <row r="2" spans="1:4" s="16" customFormat="1" ht="99" customHeight="1" thickBot="1" x14ac:dyDescent="0.4">
      <c r="A2" s="150"/>
      <c r="B2" s="150"/>
      <c r="C2" s="150"/>
      <c r="D2" s="150"/>
    </row>
    <row r="3" spans="1:4" s="16" customFormat="1" ht="15" customHeight="1" x14ac:dyDescent="0.35">
      <c r="A3" s="151" t="s">
        <v>52</v>
      </c>
      <c r="B3" s="152"/>
      <c r="C3" s="152"/>
      <c r="D3" s="152"/>
    </row>
    <row r="4" spans="1:4" s="16" customFormat="1" ht="15.75" customHeight="1" thickBot="1" x14ac:dyDescent="0.4">
      <c r="A4" s="153"/>
      <c r="B4" s="154"/>
      <c r="C4" s="154"/>
      <c r="D4" s="154"/>
    </row>
    <row r="5" spans="1:4" s="16" customFormat="1" ht="15" thickBot="1" x14ac:dyDescent="0.4">
      <c r="A5" s="17"/>
      <c r="D5" s="18"/>
    </row>
    <row r="6" spans="1:4" s="16" customFormat="1" ht="15" x14ac:dyDescent="0.35">
      <c r="A6" s="19" t="s">
        <v>65</v>
      </c>
      <c r="B6" s="155" t="s">
        <v>179</v>
      </c>
      <c r="C6" s="155"/>
      <c r="D6" s="155"/>
    </row>
    <row r="7" spans="1:4" s="16" customFormat="1" ht="15" x14ac:dyDescent="0.35">
      <c r="A7" s="20" t="s">
        <v>64</v>
      </c>
      <c r="B7" s="156" t="s">
        <v>169</v>
      </c>
      <c r="C7" s="157"/>
      <c r="D7" s="157"/>
    </row>
    <row r="8" spans="1:4" s="16" customFormat="1" ht="15.5" thickBot="1" x14ac:dyDescent="0.4">
      <c r="A8" s="21" t="s">
        <v>66</v>
      </c>
      <c r="B8" s="158" t="s">
        <v>169</v>
      </c>
      <c r="C8" s="158"/>
      <c r="D8" s="158"/>
    </row>
    <row r="9" spans="1:4" s="16" customFormat="1" ht="15.5" thickBot="1" x14ac:dyDescent="0.4">
      <c r="A9" s="22"/>
      <c r="B9" s="22"/>
      <c r="C9" s="22"/>
      <c r="D9" s="18"/>
    </row>
    <row r="10" spans="1:4" s="16" customFormat="1" ht="15.5" thickBot="1" x14ac:dyDescent="0.4">
      <c r="A10" s="159" t="s">
        <v>53</v>
      </c>
      <c r="B10" s="160"/>
      <c r="C10" s="160"/>
      <c r="D10" s="161"/>
    </row>
    <row r="11" spans="1:4" s="16" customFormat="1" ht="15" x14ac:dyDescent="0.35">
      <c r="A11" s="7" t="s">
        <v>7</v>
      </c>
      <c r="B11" s="162" t="s">
        <v>54</v>
      </c>
      <c r="C11" s="163"/>
      <c r="D11" s="8"/>
    </row>
    <row r="12" spans="1:4" s="16" customFormat="1" ht="15" x14ac:dyDescent="0.35">
      <c r="A12" s="4" t="s">
        <v>9</v>
      </c>
      <c r="B12" s="164" t="s">
        <v>55</v>
      </c>
      <c r="C12" s="165"/>
      <c r="D12" s="23" t="s">
        <v>162</v>
      </c>
    </row>
    <row r="13" spans="1:4" s="16" customFormat="1" ht="15" x14ac:dyDescent="0.35">
      <c r="A13" s="4" t="s">
        <v>11</v>
      </c>
      <c r="B13" s="164" t="s">
        <v>62</v>
      </c>
      <c r="C13" s="165"/>
      <c r="D13" s="23" t="s">
        <v>180</v>
      </c>
    </row>
    <row r="14" spans="1:4" s="16" customFormat="1" ht="15" customHeight="1" x14ac:dyDescent="0.35">
      <c r="A14" s="4" t="s">
        <v>13</v>
      </c>
      <c r="B14" s="164" t="s">
        <v>56</v>
      </c>
      <c r="C14" s="165"/>
      <c r="D14" s="23" t="s">
        <v>181</v>
      </c>
    </row>
    <row r="15" spans="1:4" s="16" customFormat="1" ht="15.5" thickBot="1" x14ac:dyDescent="0.4">
      <c r="A15" s="24" t="s">
        <v>14</v>
      </c>
      <c r="B15" s="166" t="s">
        <v>57</v>
      </c>
      <c r="C15" s="167"/>
      <c r="D15" s="25">
        <v>60</v>
      </c>
    </row>
    <row r="16" spans="1:4" s="16" customFormat="1" ht="15.5" thickBot="1" x14ac:dyDescent="0.4">
      <c r="A16" s="22"/>
      <c r="B16" s="22"/>
      <c r="C16" s="22"/>
      <c r="D16" s="18"/>
    </row>
    <row r="17" spans="1:6" s="16" customFormat="1" ht="15.5" thickBot="1" x14ac:dyDescent="0.4">
      <c r="A17" s="146" t="s">
        <v>58</v>
      </c>
      <c r="B17" s="147"/>
      <c r="C17" s="147"/>
      <c r="D17" s="147"/>
    </row>
    <row r="18" spans="1:6" s="16" customFormat="1" ht="15" x14ac:dyDescent="0.35">
      <c r="A18" s="168" t="s">
        <v>67</v>
      </c>
      <c r="B18" s="169"/>
      <c r="C18" s="26" t="s">
        <v>68</v>
      </c>
      <c r="D18" s="27" t="s">
        <v>69</v>
      </c>
    </row>
    <row r="19" spans="1:6" s="16" customFormat="1" ht="15.75" customHeight="1" thickBot="1" x14ac:dyDescent="0.4">
      <c r="A19" s="170" t="s">
        <v>135</v>
      </c>
      <c r="B19" s="171"/>
      <c r="C19" s="28" t="s">
        <v>70</v>
      </c>
      <c r="D19" s="25">
        <v>3</v>
      </c>
    </row>
    <row r="20" spans="1:6" s="16" customFormat="1" ht="15" thickBot="1" x14ac:dyDescent="0.4">
      <c r="A20" s="18"/>
      <c r="D20" s="18"/>
    </row>
    <row r="21" spans="1:6" s="16" customFormat="1" ht="15.75" customHeight="1" thickBot="1" x14ac:dyDescent="0.4">
      <c r="A21" s="172" t="s">
        <v>0</v>
      </c>
      <c r="B21" s="173"/>
      <c r="C21" s="173"/>
      <c r="D21" s="174"/>
    </row>
    <row r="22" spans="1:6" s="16" customFormat="1" ht="15" x14ac:dyDescent="0.35">
      <c r="A22" s="7">
        <v>1</v>
      </c>
      <c r="B22" s="162" t="s">
        <v>1</v>
      </c>
      <c r="C22" s="163"/>
      <c r="D22" s="29" t="str">
        <f>A19</f>
        <v>Vigilante Diurno 12x36</v>
      </c>
    </row>
    <row r="23" spans="1:6" s="16" customFormat="1" ht="15" x14ac:dyDescent="0.35">
      <c r="A23" s="4">
        <v>2</v>
      </c>
      <c r="B23" s="164" t="s">
        <v>121</v>
      </c>
      <c r="C23" s="165"/>
      <c r="D23" s="102">
        <v>2723.41</v>
      </c>
    </row>
    <row r="24" spans="1:6" s="16" customFormat="1" ht="15" x14ac:dyDescent="0.35">
      <c r="A24" s="4">
        <v>3</v>
      </c>
      <c r="B24" s="175" t="s">
        <v>115</v>
      </c>
      <c r="C24" s="176"/>
      <c r="D24" s="23" t="str">
        <f>A19</f>
        <v>Vigilante Diurno 12x36</v>
      </c>
    </row>
    <row r="25" spans="1:6" s="16" customFormat="1" ht="15" x14ac:dyDescent="0.35">
      <c r="A25" s="4">
        <v>4</v>
      </c>
      <c r="B25" s="164" t="s">
        <v>2</v>
      </c>
      <c r="C25" s="165"/>
      <c r="D25" s="30" t="s">
        <v>183</v>
      </c>
    </row>
    <row r="26" spans="1:6" s="16" customFormat="1" ht="15.5" thickBot="1" x14ac:dyDescent="0.4">
      <c r="A26" s="24">
        <v>5</v>
      </c>
      <c r="B26" s="166" t="s">
        <v>71</v>
      </c>
      <c r="C26" s="167"/>
      <c r="D26" s="23">
        <v>6</v>
      </c>
    </row>
    <row r="27" spans="1:6" s="16" customFormat="1" ht="15" x14ac:dyDescent="0.35">
      <c r="A27" s="22"/>
      <c r="D27" s="18"/>
    </row>
    <row r="28" spans="1:6" s="16" customFormat="1" ht="16" thickBot="1" x14ac:dyDescent="0.4">
      <c r="A28" s="177" t="s">
        <v>3</v>
      </c>
      <c r="B28" s="177"/>
      <c r="C28" s="177"/>
      <c r="D28" s="177"/>
    </row>
    <row r="29" spans="1:6" s="16" customFormat="1" ht="15.5" thickBot="1" x14ac:dyDescent="0.4">
      <c r="A29" s="14" t="s">
        <v>4</v>
      </c>
      <c r="B29" s="174" t="s">
        <v>5</v>
      </c>
      <c r="C29" s="178"/>
      <c r="D29" s="31" t="s">
        <v>6</v>
      </c>
    </row>
    <row r="30" spans="1:6" s="16" customFormat="1" ht="15" x14ac:dyDescent="0.35">
      <c r="A30" s="7" t="s">
        <v>7</v>
      </c>
      <c r="B30" s="162" t="s">
        <v>8</v>
      </c>
      <c r="C30" s="163"/>
      <c r="D30" s="102">
        <v>2723.41</v>
      </c>
    </row>
    <row r="31" spans="1:6" s="16" customFormat="1" ht="15" x14ac:dyDescent="0.35">
      <c r="A31" s="4" t="s">
        <v>9</v>
      </c>
      <c r="B31" s="164" t="s">
        <v>10</v>
      </c>
      <c r="C31" s="165"/>
      <c r="D31" s="33">
        <f>D30*30%</f>
        <v>817.02</v>
      </c>
    </row>
    <row r="32" spans="1:6" s="16" customFormat="1" ht="15" x14ac:dyDescent="0.35">
      <c r="A32" s="4" t="s">
        <v>11</v>
      </c>
      <c r="B32" s="164" t="s">
        <v>12</v>
      </c>
      <c r="C32" s="165"/>
      <c r="D32" s="33"/>
      <c r="F32" s="34"/>
    </row>
    <row r="33" spans="1:4" s="16" customFormat="1" ht="15" x14ac:dyDescent="0.35">
      <c r="A33" s="4" t="s">
        <v>13</v>
      </c>
      <c r="B33" s="164" t="s">
        <v>72</v>
      </c>
      <c r="C33" s="165"/>
      <c r="D33" s="33"/>
    </row>
    <row r="34" spans="1:4" s="16" customFormat="1" ht="15" x14ac:dyDescent="0.35">
      <c r="A34" s="4" t="s">
        <v>14</v>
      </c>
      <c r="B34" s="164" t="s">
        <v>15</v>
      </c>
      <c r="C34" s="165"/>
      <c r="D34" s="33"/>
    </row>
    <row r="35" spans="1:4" s="16" customFormat="1" ht="15.75" customHeight="1" x14ac:dyDescent="0.35">
      <c r="A35" s="4" t="s">
        <v>16</v>
      </c>
      <c r="B35" s="175" t="s">
        <v>77</v>
      </c>
      <c r="C35" s="176"/>
      <c r="D35" s="33"/>
    </row>
    <row r="36" spans="1:4" s="16" customFormat="1" ht="15.5" thickBot="1" x14ac:dyDescent="0.4">
      <c r="A36" s="35" t="s">
        <v>17</v>
      </c>
      <c r="B36" s="166" t="s">
        <v>19</v>
      </c>
      <c r="C36" s="167"/>
      <c r="D36" s="36"/>
    </row>
    <row r="37" spans="1:4" s="16" customFormat="1" ht="15.75" customHeight="1" thickBot="1" x14ac:dyDescent="0.4">
      <c r="A37" s="179" t="s">
        <v>20</v>
      </c>
      <c r="B37" s="180"/>
      <c r="C37" s="178"/>
      <c r="D37" s="37">
        <f>SUM(D30:D36)</f>
        <v>3540.43</v>
      </c>
    </row>
    <row r="38" spans="1:4" s="16" customFormat="1" x14ac:dyDescent="0.35">
      <c r="A38" s="38"/>
      <c r="D38" s="18"/>
    </row>
    <row r="39" spans="1:4" s="16" customFormat="1" ht="16" thickBot="1" x14ac:dyDescent="0.4">
      <c r="A39" s="177" t="s">
        <v>21</v>
      </c>
      <c r="B39" s="177"/>
      <c r="C39" s="177"/>
      <c r="D39" s="177"/>
    </row>
    <row r="40" spans="1:4" s="16" customFormat="1" ht="15.5" thickBot="1" x14ac:dyDescent="0.4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ht="15" x14ac:dyDescent="0.35">
      <c r="A41" s="7" t="s">
        <v>7</v>
      </c>
      <c r="B41" s="40" t="s">
        <v>37</v>
      </c>
      <c r="C41" s="2">
        <f>1/12</f>
        <v>8.3299999999999999E-2</v>
      </c>
      <c r="D41" s="13">
        <f>C41*D37</f>
        <v>294.92</v>
      </c>
    </row>
    <row r="42" spans="1:4" s="16" customFormat="1" ht="15.5" thickBot="1" x14ac:dyDescent="0.4">
      <c r="A42" s="7" t="s">
        <v>9</v>
      </c>
      <c r="B42" s="40" t="s">
        <v>78</v>
      </c>
      <c r="C42" s="2">
        <v>0.121</v>
      </c>
      <c r="D42" s="13">
        <f>D37*C42</f>
        <v>428.39</v>
      </c>
    </row>
    <row r="43" spans="1:4" s="16" customFormat="1" ht="15.5" thickBot="1" x14ac:dyDescent="0.4">
      <c r="A43" s="172" t="s">
        <v>35</v>
      </c>
      <c r="B43" s="173"/>
      <c r="C43" s="41">
        <f>SUM(C41:C42)</f>
        <v>0.20430000000000001</v>
      </c>
      <c r="D43" s="12">
        <f>SUM(D41:D42)</f>
        <v>723.31</v>
      </c>
    </row>
    <row r="44" spans="1:4" s="16" customFormat="1" x14ac:dyDescent="0.35">
      <c r="A44" s="38"/>
      <c r="D44" s="18"/>
    </row>
    <row r="45" spans="1:4" s="16" customFormat="1" x14ac:dyDescent="0.35">
      <c r="A45" s="181" t="s">
        <v>120</v>
      </c>
      <c r="B45" s="181"/>
      <c r="C45" s="181"/>
      <c r="D45" s="42">
        <f>D37+D43</f>
        <v>4263.74</v>
      </c>
    </row>
    <row r="46" spans="1:4" s="16" customFormat="1" x14ac:dyDescent="0.35">
      <c r="A46" s="38"/>
      <c r="D46" s="18"/>
    </row>
    <row r="47" spans="1:4" s="16" customFormat="1" ht="16" thickBot="1" x14ac:dyDescent="0.4">
      <c r="A47" s="177" t="s">
        <v>81</v>
      </c>
      <c r="B47" s="177"/>
      <c r="C47" s="177"/>
      <c r="D47" s="177"/>
    </row>
    <row r="48" spans="1:4" s="16" customFormat="1" ht="15.5" thickBot="1" x14ac:dyDescent="0.4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ht="15" x14ac:dyDescent="0.35">
      <c r="A49" s="7" t="s">
        <v>7</v>
      </c>
      <c r="B49" s="40" t="s">
        <v>28</v>
      </c>
      <c r="C49" s="2">
        <v>0.2</v>
      </c>
      <c r="D49" s="13">
        <f>C49*(D37+D43)</f>
        <v>852.75</v>
      </c>
    </row>
    <row r="50" spans="1:4" s="16" customFormat="1" ht="15" x14ac:dyDescent="0.35">
      <c r="A50" s="7" t="s">
        <v>9</v>
      </c>
      <c r="B50" s="43" t="s">
        <v>32</v>
      </c>
      <c r="C50" s="2">
        <v>2.5000000000000001E-2</v>
      </c>
      <c r="D50" s="13">
        <f>C50*(D$37+D43)</f>
        <v>106.59</v>
      </c>
    </row>
    <row r="51" spans="1:4" s="16" customFormat="1" ht="15" x14ac:dyDescent="0.35">
      <c r="A51" s="7" t="s">
        <v>11</v>
      </c>
      <c r="B51" s="5" t="s">
        <v>83</v>
      </c>
      <c r="C51" s="2">
        <v>0.03</v>
      </c>
      <c r="D51" s="13">
        <f>C51*(D$37+D43)</f>
        <v>127.91</v>
      </c>
    </row>
    <row r="52" spans="1:4" s="16" customFormat="1" ht="15" x14ac:dyDescent="0.35">
      <c r="A52" s="4" t="s">
        <v>13</v>
      </c>
      <c r="B52" s="5" t="s">
        <v>29</v>
      </c>
      <c r="C52" s="2">
        <v>1.4999999999999999E-2</v>
      </c>
      <c r="D52" s="13">
        <f>C52*(D$37+D43)</f>
        <v>63.96</v>
      </c>
    </row>
    <row r="53" spans="1:4" s="16" customFormat="1" ht="15" x14ac:dyDescent="0.35">
      <c r="A53" s="4" t="s">
        <v>14</v>
      </c>
      <c r="B53" s="5" t="s">
        <v>30</v>
      </c>
      <c r="C53" s="2">
        <v>0.01</v>
      </c>
      <c r="D53" s="13">
        <f>C53*(D43+D$37)</f>
        <v>42.64</v>
      </c>
    </row>
    <row r="54" spans="1:4" s="16" customFormat="1" ht="15" x14ac:dyDescent="0.35">
      <c r="A54" s="4" t="s">
        <v>16</v>
      </c>
      <c r="B54" s="44" t="s">
        <v>34</v>
      </c>
      <c r="C54" s="2">
        <v>6.0000000000000001E-3</v>
      </c>
      <c r="D54" s="13">
        <f>C54*(D$37+D43)</f>
        <v>25.58</v>
      </c>
    </row>
    <row r="55" spans="1:4" s="16" customFormat="1" ht="15" x14ac:dyDescent="0.35">
      <c r="A55" s="4" t="s">
        <v>17</v>
      </c>
      <c r="B55" s="5" t="s">
        <v>31</v>
      </c>
      <c r="C55" s="2">
        <v>2E-3</v>
      </c>
      <c r="D55" s="13">
        <f>C55*(D$37+D43)</f>
        <v>8.5299999999999994</v>
      </c>
    </row>
    <row r="56" spans="1:4" s="16" customFormat="1" ht="15.5" thickBot="1" x14ac:dyDescent="0.4">
      <c r="A56" s="4" t="s">
        <v>18</v>
      </c>
      <c r="B56" s="5" t="s">
        <v>33</v>
      </c>
      <c r="C56" s="2">
        <v>0.08</v>
      </c>
      <c r="D56" s="13">
        <f>C56*(D$37+D43)</f>
        <v>341.1</v>
      </c>
    </row>
    <row r="57" spans="1:4" s="16" customFormat="1" ht="15.5" thickBot="1" x14ac:dyDescent="0.4">
      <c r="A57" s="172" t="s">
        <v>35</v>
      </c>
      <c r="B57" s="173"/>
      <c r="C57" s="41">
        <f>SUM(C49:C56)</f>
        <v>0.36799999999999999</v>
      </c>
      <c r="D57" s="45">
        <f>SUM(D49:D56)</f>
        <v>1569.06</v>
      </c>
    </row>
    <row r="58" spans="1:4" s="16" customFormat="1" x14ac:dyDescent="0.35">
      <c r="A58" s="38"/>
      <c r="D58" s="18"/>
    </row>
    <row r="59" spans="1:4" s="16" customFormat="1" ht="16" thickBot="1" x14ac:dyDescent="0.4">
      <c r="A59" s="177" t="s">
        <v>84</v>
      </c>
      <c r="B59" s="177"/>
      <c r="C59" s="177"/>
      <c r="D59" s="177"/>
    </row>
    <row r="60" spans="1:4" s="16" customFormat="1" ht="15.5" thickBot="1" x14ac:dyDescent="0.4">
      <c r="A60" s="14" t="s">
        <v>85</v>
      </c>
      <c r="B60" s="15" t="s">
        <v>22</v>
      </c>
      <c r="C60" s="174" t="s">
        <v>6</v>
      </c>
      <c r="D60" s="180"/>
    </row>
    <row r="61" spans="1:4" s="16" customFormat="1" ht="15" x14ac:dyDescent="0.35">
      <c r="A61" s="7" t="s">
        <v>7</v>
      </c>
      <c r="B61" s="40" t="s">
        <v>163</v>
      </c>
      <c r="C61" s="182">
        <v>165</v>
      </c>
      <c r="D61" s="183"/>
    </row>
    <row r="62" spans="1:4" s="16" customFormat="1" ht="15" x14ac:dyDescent="0.35">
      <c r="A62" s="4" t="s">
        <v>48</v>
      </c>
      <c r="B62" s="5" t="s">
        <v>49</v>
      </c>
      <c r="C62" s="184">
        <f>-(6%*D30)</f>
        <v>-163.4</v>
      </c>
      <c r="D62" s="185"/>
    </row>
    <row r="63" spans="1:4" s="16" customFormat="1" ht="15" x14ac:dyDescent="0.35">
      <c r="A63" s="4" t="s">
        <v>9</v>
      </c>
      <c r="B63" s="5" t="s">
        <v>182</v>
      </c>
      <c r="C63" s="184">
        <v>710.55</v>
      </c>
      <c r="D63" s="185"/>
    </row>
    <row r="64" spans="1:4" s="16" customFormat="1" ht="15" x14ac:dyDescent="0.35">
      <c r="A64" s="4" t="s">
        <v>134</v>
      </c>
      <c r="B64" s="5" t="s">
        <v>148</v>
      </c>
      <c r="C64" s="184">
        <f>-(47.37*2%)*15</f>
        <v>-14.21</v>
      </c>
      <c r="D64" s="185"/>
    </row>
    <row r="65" spans="1:4" s="16" customFormat="1" ht="15.5" thickBot="1" x14ac:dyDescent="0.4">
      <c r="A65" s="6" t="s">
        <v>11</v>
      </c>
      <c r="B65" s="5"/>
      <c r="C65" s="191">
        <v>10.34</v>
      </c>
      <c r="D65" s="192"/>
    </row>
    <row r="66" spans="1:4" s="16" customFormat="1" ht="15" customHeight="1" thickBot="1" x14ac:dyDescent="0.4">
      <c r="A66" s="186" t="s">
        <v>23</v>
      </c>
      <c r="B66" s="187"/>
      <c r="C66" s="188">
        <f>SUM(C61:D65)</f>
        <v>708.28</v>
      </c>
      <c r="D66" s="188"/>
    </row>
    <row r="67" spans="1:4" s="16" customFormat="1" x14ac:dyDescent="0.35">
      <c r="A67" s="189"/>
      <c r="B67" s="189"/>
      <c r="C67" s="189"/>
      <c r="D67" s="189"/>
    </row>
    <row r="68" spans="1:4" s="16" customFormat="1" ht="16" thickBot="1" x14ac:dyDescent="0.4">
      <c r="A68" s="190" t="s">
        <v>92</v>
      </c>
      <c r="B68" s="190"/>
      <c r="C68" s="190"/>
      <c r="D68" s="46"/>
    </row>
    <row r="69" spans="1:4" s="16" customFormat="1" ht="15.5" thickBot="1" x14ac:dyDescent="0.4">
      <c r="A69" s="14">
        <v>2</v>
      </c>
      <c r="B69" s="15" t="s">
        <v>86</v>
      </c>
      <c r="C69" s="15" t="s">
        <v>6</v>
      </c>
      <c r="D69" s="47"/>
    </row>
    <row r="70" spans="1:4" s="16" customFormat="1" ht="15" x14ac:dyDescent="0.35">
      <c r="A70" s="6" t="s">
        <v>80</v>
      </c>
      <c r="B70" s="5" t="s">
        <v>79</v>
      </c>
      <c r="C70" s="48">
        <f>D43</f>
        <v>723.31</v>
      </c>
      <c r="D70" s="47"/>
    </row>
    <row r="71" spans="1:4" s="16" customFormat="1" ht="15" x14ac:dyDescent="0.35">
      <c r="A71" s="6" t="s">
        <v>82</v>
      </c>
      <c r="B71" s="5" t="s">
        <v>87</v>
      </c>
      <c r="C71" s="48">
        <f>D57</f>
        <v>1569.06</v>
      </c>
      <c r="D71" s="47"/>
    </row>
    <row r="72" spans="1:4" s="16" customFormat="1" ht="15.5" thickBot="1" x14ac:dyDescent="0.4">
      <c r="A72" s="6" t="s">
        <v>85</v>
      </c>
      <c r="B72" s="5" t="s">
        <v>22</v>
      </c>
      <c r="C72" s="48">
        <f>C66</f>
        <v>708.28</v>
      </c>
      <c r="D72" s="47"/>
    </row>
    <row r="73" spans="1:4" s="16" customFormat="1" ht="15" customHeight="1" thickBot="1" x14ac:dyDescent="0.4">
      <c r="A73" s="179" t="s">
        <v>88</v>
      </c>
      <c r="B73" s="180"/>
      <c r="C73" s="49">
        <f>SUM(C70:C72)</f>
        <v>3000.65</v>
      </c>
      <c r="D73" s="47"/>
    </row>
    <row r="74" spans="1:4" s="16" customFormat="1" ht="15" customHeight="1" x14ac:dyDescent="0.35">
      <c r="A74" s="47"/>
      <c r="B74" s="47"/>
      <c r="C74" s="47"/>
      <c r="D74" s="47"/>
    </row>
    <row r="75" spans="1:4" s="16" customFormat="1" ht="15" customHeight="1" thickBot="1" x14ac:dyDescent="0.4">
      <c r="A75" s="177" t="s">
        <v>89</v>
      </c>
      <c r="B75" s="177"/>
      <c r="C75" s="177"/>
      <c r="D75" s="177"/>
    </row>
    <row r="76" spans="1:4" s="16" customFormat="1" ht="15" customHeight="1" thickBot="1" x14ac:dyDescent="0.4">
      <c r="A76" s="14">
        <v>3</v>
      </c>
      <c r="B76" s="15" t="s">
        <v>38</v>
      </c>
      <c r="C76" s="15" t="s">
        <v>27</v>
      </c>
      <c r="D76" s="39" t="s">
        <v>6</v>
      </c>
    </row>
    <row r="77" spans="1:4" s="16" customFormat="1" ht="15" x14ac:dyDescent="0.35">
      <c r="A77" s="7" t="s">
        <v>7</v>
      </c>
      <c r="B77" s="40" t="s">
        <v>75</v>
      </c>
      <c r="C77" s="3">
        <v>1.8100000000000002E-2</v>
      </c>
      <c r="D77" s="13">
        <f t="shared" ref="D77:D82" si="0">C77*($D$37+$C$73)</f>
        <v>118.39</v>
      </c>
    </row>
    <row r="78" spans="1:4" s="16" customFormat="1" ht="15" customHeight="1" x14ac:dyDescent="0.35">
      <c r="A78" s="4" t="s">
        <v>9</v>
      </c>
      <c r="B78" s="5" t="s">
        <v>74</v>
      </c>
      <c r="C78" s="3">
        <v>1.4E-3</v>
      </c>
      <c r="D78" s="13">
        <f t="shared" si="0"/>
        <v>9.16</v>
      </c>
    </row>
    <row r="79" spans="1:4" s="16" customFormat="1" ht="15" customHeight="1" x14ac:dyDescent="0.35">
      <c r="A79" s="4" t="s">
        <v>11</v>
      </c>
      <c r="B79" s="5" t="s">
        <v>116</v>
      </c>
      <c r="C79" s="3">
        <v>3.4000000000000002E-2</v>
      </c>
      <c r="D79" s="13">
        <f t="shared" si="0"/>
        <v>222.4</v>
      </c>
    </row>
    <row r="80" spans="1:4" s="16" customFormat="1" ht="15" customHeight="1" x14ac:dyDescent="0.35">
      <c r="A80" s="4" t="s">
        <v>13</v>
      </c>
      <c r="B80" s="5" t="s">
        <v>76</v>
      </c>
      <c r="C80" s="3">
        <v>2.8999999999999998E-3</v>
      </c>
      <c r="D80" s="13">
        <f t="shared" si="0"/>
        <v>18.97</v>
      </c>
    </row>
    <row r="81" spans="1:6" s="16" customFormat="1" ht="15" customHeight="1" x14ac:dyDescent="0.35">
      <c r="A81" s="4" t="s">
        <v>14</v>
      </c>
      <c r="B81" s="5" t="s">
        <v>90</v>
      </c>
      <c r="C81" s="3">
        <f>C80*C57</f>
        <v>1.1000000000000001E-3</v>
      </c>
      <c r="D81" s="13">
        <f t="shared" si="0"/>
        <v>7.2</v>
      </c>
    </row>
    <row r="82" spans="1:6" s="16" customFormat="1" ht="15" customHeight="1" thickBot="1" x14ac:dyDescent="0.4">
      <c r="A82" s="35" t="s">
        <v>16</v>
      </c>
      <c r="B82" s="50" t="s">
        <v>111</v>
      </c>
      <c r="C82" s="103">
        <v>6.0000000000000001E-3</v>
      </c>
      <c r="D82" s="13">
        <f t="shared" si="0"/>
        <v>39.25</v>
      </c>
      <c r="F82" s="51"/>
    </row>
    <row r="83" spans="1:6" s="16" customFormat="1" ht="15" customHeight="1" thickBot="1" x14ac:dyDescent="0.4">
      <c r="A83" s="172" t="s">
        <v>35</v>
      </c>
      <c r="B83" s="173"/>
      <c r="C83" s="41">
        <f>SUM(C77:C82)</f>
        <v>6.3500000000000001E-2</v>
      </c>
      <c r="D83" s="12">
        <f>SUM(D77:D82)</f>
        <v>415.37</v>
      </c>
    </row>
    <row r="84" spans="1:6" s="16" customFormat="1" ht="15" customHeight="1" x14ac:dyDescent="0.35">
      <c r="A84" s="52"/>
      <c r="B84" s="52"/>
      <c r="C84" s="52"/>
      <c r="D84" s="52"/>
    </row>
    <row r="85" spans="1:6" s="16" customFormat="1" ht="15" customHeight="1" x14ac:dyDescent="0.35">
      <c r="A85" s="177" t="s">
        <v>91</v>
      </c>
      <c r="B85" s="177"/>
      <c r="C85" s="177"/>
      <c r="D85" s="177"/>
    </row>
    <row r="86" spans="1:6" s="16" customFormat="1" ht="15" customHeight="1" x14ac:dyDescent="0.35">
      <c r="A86" s="177" t="s">
        <v>93</v>
      </c>
      <c r="B86" s="177"/>
      <c r="C86" s="177"/>
      <c r="D86" s="177"/>
    </row>
    <row r="87" spans="1:6" s="16" customFormat="1" ht="15" customHeight="1" x14ac:dyDescent="0.35">
      <c r="A87" s="84" t="s">
        <v>25</v>
      </c>
      <c r="B87" s="84" t="s">
        <v>94</v>
      </c>
      <c r="C87" s="84" t="s">
        <v>27</v>
      </c>
      <c r="D87" s="84" t="s">
        <v>6</v>
      </c>
    </row>
    <row r="88" spans="1:6" s="16" customFormat="1" ht="15" x14ac:dyDescent="0.35">
      <c r="A88" s="6" t="s">
        <v>7</v>
      </c>
      <c r="B88" s="5" t="s">
        <v>117</v>
      </c>
      <c r="C88" s="11">
        <v>9.4999999999999998E-3</v>
      </c>
      <c r="D88" s="95">
        <f>$D$37*C88</f>
        <v>33.630000000000003</v>
      </c>
    </row>
    <row r="89" spans="1:6" s="16" customFormat="1" ht="15" x14ac:dyDescent="0.35">
      <c r="A89" s="6" t="s">
        <v>9</v>
      </c>
      <c r="B89" s="5" t="s">
        <v>95</v>
      </c>
      <c r="C89" s="11">
        <v>3.8800000000000001E-2</v>
      </c>
      <c r="D89" s="95">
        <f t="shared" ref="D89:D92" si="1">$D$37*C89</f>
        <v>137.37</v>
      </c>
    </row>
    <row r="90" spans="1:6" s="16" customFormat="1" ht="15" x14ac:dyDescent="0.35">
      <c r="A90" s="6" t="s">
        <v>11</v>
      </c>
      <c r="B90" s="5" t="s">
        <v>96</v>
      </c>
      <c r="C90" s="11">
        <v>1E-3</v>
      </c>
      <c r="D90" s="95">
        <f t="shared" si="1"/>
        <v>3.54</v>
      </c>
    </row>
    <row r="91" spans="1:6" s="16" customFormat="1" ht="15" x14ac:dyDescent="0.35">
      <c r="A91" s="6" t="s">
        <v>13</v>
      </c>
      <c r="B91" s="5" t="s">
        <v>114</v>
      </c>
      <c r="C91" s="11">
        <v>2.0000000000000001E-4</v>
      </c>
      <c r="D91" s="95">
        <f t="shared" si="1"/>
        <v>0.71</v>
      </c>
    </row>
    <row r="92" spans="1:6" s="16" customFormat="1" ht="15" x14ac:dyDescent="0.35">
      <c r="A92" s="6" t="s">
        <v>14</v>
      </c>
      <c r="B92" s="5" t="s">
        <v>112</v>
      </c>
      <c r="C92" s="11">
        <v>4.1999999999999997E-3</v>
      </c>
      <c r="D92" s="95">
        <f t="shared" si="1"/>
        <v>14.87</v>
      </c>
    </row>
    <row r="93" spans="1:6" s="16" customFormat="1" ht="15" x14ac:dyDescent="0.35">
      <c r="A93" s="6" t="s">
        <v>16</v>
      </c>
      <c r="B93" s="5" t="s">
        <v>19</v>
      </c>
      <c r="C93" s="11"/>
      <c r="D93" s="95">
        <f>C93*($D$37+$C$73+$D$83)</f>
        <v>0</v>
      </c>
    </row>
    <row r="94" spans="1:6" s="16" customFormat="1" ht="15" x14ac:dyDescent="0.35">
      <c r="A94" s="193" t="s">
        <v>35</v>
      </c>
      <c r="B94" s="193"/>
      <c r="C94" s="96">
        <f>SUM(C88:C93)</f>
        <v>5.3699999999999998E-2</v>
      </c>
      <c r="D94" s="95">
        <f>SUM(D88:D93)</f>
        <v>190.12</v>
      </c>
    </row>
    <row r="95" spans="1:6" s="16" customFormat="1" x14ac:dyDescent="0.35"/>
    <row r="96" spans="1:6" s="16" customFormat="1" ht="16" thickBot="1" x14ac:dyDescent="0.4">
      <c r="A96" s="194" t="s">
        <v>97</v>
      </c>
      <c r="B96" s="194"/>
      <c r="C96" s="194"/>
      <c r="D96" s="194"/>
    </row>
    <row r="97" spans="1:4" s="16" customFormat="1" ht="15.5" thickBot="1" x14ac:dyDescent="0.4">
      <c r="A97" s="14" t="s">
        <v>36</v>
      </c>
      <c r="B97" s="15" t="s">
        <v>98</v>
      </c>
      <c r="C97" s="54" t="s">
        <v>6</v>
      </c>
    </row>
    <row r="98" spans="1:4" s="16" customFormat="1" ht="15.5" thickBot="1" x14ac:dyDescent="0.4">
      <c r="A98" s="7" t="s">
        <v>7</v>
      </c>
      <c r="B98" s="40" t="s">
        <v>99</v>
      </c>
      <c r="C98" s="55">
        <v>0</v>
      </c>
    </row>
    <row r="99" spans="1:4" s="16" customFormat="1" ht="15.5" thickBot="1" x14ac:dyDescent="0.4">
      <c r="A99" s="172" t="s">
        <v>35</v>
      </c>
      <c r="B99" s="173"/>
      <c r="C99" s="56"/>
    </row>
    <row r="100" spans="1:4" s="16" customFormat="1" x14ac:dyDescent="0.35"/>
    <row r="101" spans="1:4" s="16" customFormat="1" ht="15" thickBot="1" x14ac:dyDescent="0.4">
      <c r="A101" s="195" t="s">
        <v>100</v>
      </c>
      <c r="B101" s="195"/>
      <c r="C101" s="195"/>
    </row>
    <row r="102" spans="1:4" s="16" customFormat="1" ht="15.5" thickBot="1" x14ac:dyDescent="0.4">
      <c r="A102" s="14">
        <v>4</v>
      </c>
      <c r="B102" s="15" t="s">
        <v>39</v>
      </c>
      <c r="C102" s="54" t="s">
        <v>6</v>
      </c>
    </row>
    <row r="103" spans="1:4" s="16" customFormat="1" ht="15" x14ac:dyDescent="0.35">
      <c r="A103" s="4" t="s">
        <v>25</v>
      </c>
      <c r="B103" s="40" t="s">
        <v>94</v>
      </c>
      <c r="C103" s="55">
        <f>D94</f>
        <v>190.12</v>
      </c>
    </row>
    <row r="104" spans="1:4" s="16" customFormat="1" ht="15.5" thickBot="1" x14ac:dyDescent="0.4">
      <c r="A104" s="4" t="s">
        <v>36</v>
      </c>
      <c r="B104" s="57" t="s">
        <v>98</v>
      </c>
      <c r="C104" s="55">
        <f>C98</f>
        <v>0</v>
      </c>
    </row>
    <row r="105" spans="1:4" s="16" customFormat="1" ht="15.5" thickBot="1" x14ac:dyDescent="0.4">
      <c r="A105" s="172" t="s">
        <v>35</v>
      </c>
      <c r="B105" s="173"/>
      <c r="C105" s="58">
        <f>SUM(C103:C104)</f>
        <v>190.12</v>
      </c>
    </row>
    <row r="106" spans="1:4" s="16" customFormat="1" x14ac:dyDescent="0.35">
      <c r="A106" s="38"/>
      <c r="D106" s="18"/>
    </row>
    <row r="107" spans="1:4" s="16" customFormat="1" ht="16" thickBot="1" x14ac:dyDescent="0.4">
      <c r="A107" s="177" t="s">
        <v>101</v>
      </c>
      <c r="B107" s="177"/>
      <c r="C107" s="177"/>
      <c r="D107" s="177"/>
    </row>
    <row r="108" spans="1:4" s="16" customFormat="1" ht="15.5" thickBot="1" x14ac:dyDescent="0.4">
      <c r="A108" s="14">
        <v>5</v>
      </c>
      <c r="B108" s="174" t="s">
        <v>24</v>
      </c>
      <c r="C108" s="178"/>
      <c r="D108" s="31" t="s">
        <v>6</v>
      </c>
    </row>
    <row r="109" spans="1:4" s="16" customFormat="1" ht="15" x14ac:dyDescent="0.35">
      <c r="A109" s="7" t="s">
        <v>7</v>
      </c>
      <c r="B109" s="162" t="s">
        <v>73</v>
      </c>
      <c r="C109" s="163"/>
      <c r="D109" s="32">
        <v>181.65</v>
      </c>
    </row>
    <row r="110" spans="1:4" s="16" customFormat="1" ht="15" x14ac:dyDescent="0.35">
      <c r="A110" s="4" t="s">
        <v>9</v>
      </c>
      <c r="B110" s="164" t="s">
        <v>187</v>
      </c>
      <c r="C110" s="165"/>
      <c r="D110" s="33">
        <f>'Equipamentos - uso comum '!K25</f>
        <v>17.12</v>
      </c>
    </row>
    <row r="111" spans="1:4" s="16" customFormat="1" ht="15.5" thickBot="1" x14ac:dyDescent="0.4">
      <c r="A111" s="35" t="s">
        <v>13</v>
      </c>
      <c r="B111" s="166" t="s">
        <v>19</v>
      </c>
      <c r="C111" s="167"/>
      <c r="D111" s="36"/>
    </row>
    <row r="112" spans="1:4" s="16" customFormat="1" ht="15.75" customHeight="1" thickBot="1" x14ac:dyDescent="0.4">
      <c r="A112" s="179" t="s">
        <v>63</v>
      </c>
      <c r="B112" s="180"/>
      <c r="C112" s="178"/>
      <c r="D112" s="37">
        <f>SUM(D109:D111)</f>
        <v>198.77</v>
      </c>
    </row>
    <row r="113" spans="1:4" s="16" customFormat="1" x14ac:dyDescent="0.35"/>
    <row r="114" spans="1:4" s="16" customFormat="1" ht="16" thickBot="1" x14ac:dyDescent="0.4">
      <c r="A114" s="177" t="s">
        <v>102</v>
      </c>
      <c r="B114" s="177"/>
      <c r="C114" s="177"/>
      <c r="D114" s="177"/>
    </row>
    <row r="115" spans="1:4" s="16" customFormat="1" ht="15.5" thickBot="1" x14ac:dyDescent="0.4">
      <c r="A115" s="14">
        <v>5</v>
      </c>
      <c r="B115" s="15" t="s">
        <v>40</v>
      </c>
      <c r="C115" s="53" t="s">
        <v>27</v>
      </c>
      <c r="D115" s="39" t="s">
        <v>6</v>
      </c>
    </row>
    <row r="116" spans="1:4" s="16" customFormat="1" ht="15" x14ac:dyDescent="0.35">
      <c r="A116" s="7" t="s">
        <v>7</v>
      </c>
      <c r="B116" s="8" t="s">
        <v>41</v>
      </c>
      <c r="C116" s="9">
        <v>1.6199999999999999E-2</v>
      </c>
      <c r="D116" s="59">
        <f>C116*$D$132</f>
        <v>118.99</v>
      </c>
    </row>
    <row r="117" spans="1:4" s="16" customFormat="1" ht="15" x14ac:dyDescent="0.35">
      <c r="A117" s="4" t="s">
        <v>9</v>
      </c>
      <c r="B117" s="10" t="s">
        <v>44</v>
      </c>
      <c r="C117" s="9">
        <v>1.3899999999999999E-2</v>
      </c>
      <c r="D117" s="59">
        <f>C117*(D116+$D$132)</f>
        <v>103.75</v>
      </c>
    </row>
    <row r="118" spans="1:4" s="16" customFormat="1" ht="15" x14ac:dyDescent="0.35">
      <c r="A118" s="4" t="s">
        <v>11</v>
      </c>
      <c r="B118" s="5" t="s">
        <v>42</v>
      </c>
      <c r="C118" s="60">
        <f>SUM(C119:C122)</f>
        <v>8.6499999999999994E-2</v>
      </c>
      <c r="D118" s="61"/>
    </row>
    <row r="119" spans="1:4" s="16" customFormat="1" ht="15" x14ac:dyDescent="0.35">
      <c r="A119" s="4" t="s">
        <v>59</v>
      </c>
      <c r="B119" s="5" t="s">
        <v>43</v>
      </c>
      <c r="C119" s="62">
        <v>0</v>
      </c>
      <c r="D119" s="61"/>
    </row>
    <row r="120" spans="1:4" s="16" customFormat="1" ht="15" x14ac:dyDescent="0.35">
      <c r="A120" s="4" t="s">
        <v>60</v>
      </c>
      <c r="B120" s="5" t="s">
        <v>50</v>
      </c>
      <c r="C120" s="62">
        <v>6.4999999999999997E-3</v>
      </c>
      <c r="D120" s="61">
        <f>(D132+D116+D117)/(1-C118)*C120</f>
        <v>53.85</v>
      </c>
    </row>
    <row r="121" spans="1:4" s="16" customFormat="1" ht="15" x14ac:dyDescent="0.35">
      <c r="A121" s="4" t="s">
        <v>61</v>
      </c>
      <c r="B121" s="5" t="s">
        <v>51</v>
      </c>
      <c r="C121" s="62">
        <v>0.03</v>
      </c>
      <c r="D121" s="61">
        <f>(D132+D116+D117)/(1-C118)*C121</f>
        <v>248.54</v>
      </c>
    </row>
    <row r="122" spans="1:4" s="16" customFormat="1" ht="15.5" thickBot="1" x14ac:dyDescent="0.4">
      <c r="A122" s="4" t="s">
        <v>103</v>
      </c>
      <c r="B122" s="43" t="s">
        <v>113</v>
      </c>
      <c r="C122" s="62">
        <v>0.05</v>
      </c>
      <c r="D122" s="61">
        <f>(D132+D116+D117)/(1-C118)*C122</f>
        <v>414.24</v>
      </c>
    </row>
    <row r="123" spans="1:4" s="16" customFormat="1" ht="15.5" thickBot="1" x14ac:dyDescent="0.4">
      <c r="A123" s="172" t="s">
        <v>35</v>
      </c>
      <c r="B123" s="173"/>
      <c r="C123" s="173"/>
      <c r="D123" s="63">
        <f>SUM(D116:D122)</f>
        <v>939.37</v>
      </c>
    </row>
    <row r="124" spans="1:4" s="16" customFormat="1" ht="15.75" customHeight="1" x14ac:dyDescent="0.35">
      <c r="A124" s="38"/>
      <c r="D124" s="18"/>
    </row>
    <row r="125" spans="1:4" s="16" customFormat="1" ht="16" thickBot="1" x14ac:dyDescent="0.4">
      <c r="A125" s="202" t="s">
        <v>110</v>
      </c>
      <c r="B125" s="202"/>
      <c r="C125" s="202"/>
      <c r="D125" s="202"/>
    </row>
    <row r="126" spans="1:4" s="16" customFormat="1" ht="15.75" customHeight="1" thickBot="1" x14ac:dyDescent="0.4">
      <c r="A126" s="179" t="s">
        <v>45</v>
      </c>
      <c r="B126" s="180"/>
      <c r="C126" s="178"/>
      <c r="D126" s="39" t="s">
        <v>46</v>
      </c>
    </row>
    <row r="127" spans="1:4" s="16" customFormat="1" ht="15" x14ac:dyDescent="0.35">
      <c r="A127" s="7" t="s">
        <v>7</v>
      </c>
      <c r="B127" s="162" t="s">
        <v>47</v>
      </c>
      <c r="C127" s="163"/>
      <c r="D127" s="64">
        <f>D37</f>
        <v>3540.43</v>
      </c>
    </row>
    <row r="128" spans="1:4" s="16" customFormat="1" ht="15" x14ac:dyDescent="0.35">
      <c r="A128" s="4" t="s">
        <v>9</v>
      </c>
      <c r="B128" s="164" t="s">
        <v>104</v>
      </c>
      <c r="C128" s="165"/>
      <c r="D128" s="65">
        <f>C73</f>
        <v>3000.65</v>
      </c>
    </row>
    <row r="129" spans="1:4" s="16" customFormat="1" ht="15" x14ac:dyDescent="0.35">
      <c r="A129" s="4" t="s">
        <v>11</v>
      </c>
      <c r="B129" s="164" t="s">
        <v>105</v>
      </c>
      <c r="C129" s="165"/>
      <c r="D129" s="65">
        <f>D83</f>
        <v>415.37</v>
      </c>
    </row>
    <row r="130" spans="1:4" s="16" customFormat="1" ht="15" customHeight="1" x14ac:dyDescent="0.35">
      <c r="A130" s="4" t="s">
        <v>13</v>
      </c>
      <c r="B130" s="66" t="s">
        <v>106</v>
      </c>
      <c r="C130" s="67"/>
      <c r="D130" s="65">
        <f>C105</f>
        <v>190.12</v>
      </c>
    </row>
    <row r="131" spans="1:4" s="16" customFormat="1" ht="15" x14ac:dyDescent="0.35">
      <c r="A131" s="4" t="s">
        <v>14</v>
      </c>
      <c r="B131" s="164" t="s">
        <v>107</v>
      </c>
      <c r="C131" s="165"/>
      <c r="D131" s="65">
        <f>D112</f>
        <v>198.77</v>
      </c>
    </row>
    <row r="132" spans="1:4" s="16" customFormat="1" ht="15" customHeight="1" x14ac:dyDescent="0.35">
      <c r="A132" s="196" t="s">
        <v>108</v>
      </c>
      <c r="B132" s="197"/>
      <c r="C132" s="198"/>
      <c r="D132" s="65">
        <f>SUM(D127:D131)</f>
        <v>7345.34</v>
      </c>
    </row>
    <row r="133" spans="1:4" s="16" customFormat="1" ht="15.75" customHeight="1" x14ac:dyDescent="0.35">
      <c r="A133" s="35" t="s">
        <v>16</v>
      </c>
      <c r="B133" s="199" t="s">
        <v>109</v>
      </c>
      <c r="C133" s="200"/>
      <c r="D133" s="68">
        <f>D123</f>
        <v>939.37</v>
      </c>
    </row>
    <row r="134" spans="1:4" s="16" customFormat="1" ht="15" customHeight="1" x14ac:dyDescent="0.35">
      <c r="A134" s="193" t="s">
        <v>118</v>
      </c>
      <c r="B134" s="193"/>
      <c r="C134" s="193"/>
      <c r="D134" s="69">
        <f>SUM(D132:D133)</f>
        <v>8284.7099999999991</v>
      </c>
    </row>
    <row r="135" spans="1:4" s="16" customFormat="1" ht="15.75" customHeight="1" thickBot="1" x14ac:dyDescent="0.4">
      <c r="A135" s="186" t="s">
        <v>119</v>
      </c>
      <c r="B135" s="187"/>
      <c r="C135" s="201"/>
      <c r="D135" s="70">
        <f>SUM(D132:D133)*2</f>
        <v>16569.419999999998</v>
      </c>
    </row>
  </sheetData>
  <mergeCells count="74">
    <mergeCell ref="A45:C45"/>
    <mergeCell ref="A19:B19"/>
    <mergeCell ref="A21:D21"/>
    <mergeCell ref="A18:B18"/>
    <mergeCell ref="A3:D4"/>
    <mergeCell ref="B6:D6"/>
    <mergeCell ref="B7:D7"/>
    <mergeCell ref="B8:D8"/>
    <mergeCell ref="A10:D10"/>
    <mergeCell ref="B11:C11"/>
    <mergeCell ref="B12:C12"/>
    <mergeCell ref="B13:C13"/>
    <mergeCell ref="B14:C14"/>
    <mergeCell ref="B15:C15"/>
    <mergeCell ref="A17:D17"/>
    <mergeCell ref="B22:C22"/>
    <mergeCell ref="B23:C23"/>
    <mergeCell ref="B24:C24"/>
    <mergeCell ref="B25:C25"/>
    <mergeCell ref="B26:C26"/>
    <mergeCell ref="A28:D28"/>
    <mergeCell ref="B30:C30"/>
    <mergeCell ref="B29:C29"/>
    <mergeCell ref="A37:C37"/>
    <mergeCell ref="B32:C32"/>
    <mergeCell ref="B33:C33"/>
    <mergeCell ref="B34:C34"/>
    <mergeCell ref="B35:C35"/>
    <mergeCell ref="B36:C36"/>
    <mergeCell ref="B31:C31"/>
    <mergeCell ref="A114:D114"/>
    <mergeCell ref="A123:C123"/>
    <mergeCell ref="B111:C111"/>
    <mergeCell ref="C66:D66"/>
    <mergeCell ref="A66:B66"/>
    <mergeCell ref="A112:C112"/>
    <mergeCell ref="A101:C101"/>
    <mergeCell ref="A107:D107"/>
    <mergeCell ref="A96:D96"/>
    <mergeCell ref="A99:B99"/>
    <mergeCell ref="A132:C132"/>
    <mergeCell ref="A135:C135"/>
    <mergeCell ref="A125:D125"/>
    <mergeCell ref="A126:C126"/>
    <mergeCell ref="B127:C127"/>
    <mergeCell ref="B128:C128"/>
    <mergeCell ref="B129:C129"/>
    <mergeCell ref="A134:C134"/>
    <mergeCell ref="B133:C133"/>
    <mergeCell ref="B131:C131"/>
    <mergeCell ref="C62:D62"/>
    <mergeCell ref="A94:B94"/>
    <mergeCell ref="C63:D63"/>
    <mergeCell ref="A68:C68"/>
    <mergeCell ref="A75:D75"/>
    <mergeCell ref="A85:D85"/>
    <mergeCell ref="C64:D64"/>
    <mergeCell ref="C65:D65"/>
    <mergeCell ref="A1:D2"/>
    <mergeCell ref="B108:C108"/>
    <mergeCell ref="B109:C109"/>
    <mergeCell ref="B110:C110"/>
    <mergeCell ref="A105:B105"/>
    <mergeCell ref="A39:D39"/>
    <mergeCell ref="A67:D67"/>
    <mergeCell ref="A86:D86"/>
    <mergeCell ref="A43:B43"/>
    <mergeCell ref="A83:B83"/>
    <mergeCell ref="A47:D47"/>
    <mergeCell ref="A57:B57"/>
    <mergeCell ref="C60:D60"/>
    <mergeCell ref="A59:D59"/>
    <mergeCell ref="A73:B73"/>
    <mergeCell ref="C61:D61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396F-32D3-49D0-9F66-F7348B448AFB}">
  <dimension ref="A1:F135"/>
  <sheetViews>
    <sheetView showGridLines="0" view="pageBreakPreview" topLeftCell="A98" zoomScale="85" zoomScaleNormal="90" zoomScaleSheetLayoutView="85" workbookViewId="0">
      <selection activeCell="D111" sqref="D111"/>
    </sheetView>
  </sheetViews>
  <sheetFormatPr defaultColWidth="9.08984375" defaultRowHeight="14.5" x14ac:dyDescent="0.35"/>
  <cols>
    <col min="1" max="1" width="14.54296875" style="1" bestFit="1" customWidth="1"/>
    <col min="2" max="2" width="59" bestFit="1" customWidth="1"/>
    <col min="3" max="3" width="20" bestFit="1" customWidth="1"/>
    <col min="4" max="4" width="34.6328125" style="1" bestFit="1" customWidth="1"/>
    <col min="6" max="6" width="17.90625" customWidth="1"/>
  </cols>
  <sheetData>
    <row r="1" spans="1:4" s="16" customFormat="1" ht="27" customHeight="1" x14ac:dyDescent="0.35">
      <c r="A1" s="148" t="s">
        <v>209</v>
      </c>
      <c r="B1" s="149"/>
      <c r="C1" s="149"/>
      <c r="D1" s="149"/>
    </row>
    <row r="2" spans="1:4" s="16" customFormat="1" ht="99" customHeight="1" thickBot="1" x14ac:dyDescent="0.4">
      <c r="A2" s="150"/>
      <c r="B2" s="150"/>
      <c r="C2" s="150"/>
      <c r="D2" s="150"/>
    </row>
    <row r="3" spans="1:4" s="16" customFormat="1" ht="15" customHeight="1" x14ac:dyDescent="0.35">
      <c r="A3" s="151" t="s">
        <v>52</v>
      </c>
      <c r="B3" s="152"/>
      <c r="C3" s="152"/>
      <c r="D3" s="152"/>
    </row>
    <row r="4" spans="1:4" s="16" customFormat="1" ht="15.75" customHeight="1" thickBot="1" x14ac:dyDescent="0.4">
      <c r="A4" s="153"/>
      <c r="B4" s="154"/>
      <c r="C4" s="154"/>
      <c r="D4" s="154"/>
    </row>
    <row r="5" spans="1:4" s="16" customFormat="1" ht="15" thickBot="1" x14ac:dyDescent="0.4">
      <c r="A5" s="17"/>
      <c r="D5" s="18"/>
    </row>
    <row r="6" spans="1:4" s="16" customFormat="1" ht="15" x14ac:dyDescent="0.35">
      <c r="A6" s="19" t="s">
        <v>65</v>
      </c>
      <c r="B6" s="155" t="s">
        <v>179</v>
      </c>
      <c r="C6" s="155"/>
      <c r="D6" s="155"/>
    </row>
    <row r="7" spans="1:4" s="16" customFormat="1" ht="15" x14ac:dyDescent="0.35">
      <c r="A7" s="20" t="s">
        <v>64</v>
      </c>
      <c r="B7" s="156" t="s">
        <v>169</v>
      </c>
      <c r="C7" s="157"/>
      <c r="D7" s="157"/>
    </row>
    <row r="8" spans="1:4" s="16" customFormat="1" ht="15.5" thickBot="1" x14ac:dyDescent="0.4">
      <c r="A8" s="21" t="s">
        <v>66</v>
      </c>
      <c r="B8" s="158" t="s">
        <v>169</v>
      </c>
      <c r="C8" s="158"/>
      <c r="D8" s="158"/>
    </row>
    <row r="9" spans="1:4" s="16" customFormat="1" ht="15.5" thickBot="1" x14ac:dyDescent="0.4">
      <c r="A9" s="22"/>
      <c r="B9" s="22"/>
      <c r="C9" s="22"/>
      <c r="D9" s="18"/>
    </row>
    <row r="10" spans="1:4" s="16" customFormat="1" ht="15.5" thickBot="1" x14ac:dyDescent="0.4">
      <c r="A10" s="159" t="s">
        <v>53</v>
      </c>
      <c r="B10" s="160"/>
      <c r="C10" s="160"/>
      <c r="D10" s="161"/>
    </row>
    <row r="11" spans="1:4" s="16" customFormat="1" ht="15" x14ac:dyDescent="0.35">
      <c r="A11" s="7" t="s">
        <v>7</v>
      </c>
      <c r="B11" s="162" t="s">
        <v>54</v>
      </c>
      <c r="C11" s="163"/>
      <c r="D11" s="8"/>
    </row>
    <row r="12" spans="1:4" s="16" customFormat="1" ht="15" x14ac:dyDescent="0.35">
      <c r="A12" s="4" t="s">
        <v>9</v>
      </c>
      <c r="B12" s="164" t="s">
        <v>55</v>
      </c>
      <c r="C12" s="165"/>
      <c r="D12" s="23" t="s">
        <v>162</v>
      </c>
    </row>
    <row r="13" spans="1:4" s="16" customFormat="1" ht="15" x14ac:dyDescent="0.35">
      <c r="A13" s="4" t="s">
        <v>11</v>
      </c>
      <c r="B13" s="164" t="s">
        <v>62</v>
      </c>
      <c r="C13" s="165"/>
      <c r="D13" s="23" t="s">
        <v>180</v>
      </c>
    </row>
    <row r="14" spans="1:4" s="16" customFormat="1" ht="15" customHeight="1" x14ac:dyDescent="0.35">
      <c r="A14" s="4" t="s">
        <v>13</v>
      </c>
      <c r="B14" s="164" t="s">
        <v>56</v>
      </c>
      <c r="C14" s="165"/>
      <c r="D14" s="23" t="s">
        <v>181</v>
      </c>
    </row>
    <row r="15" spans="1:4" s="16" customFormat="1" ht="15.5" thickBot="1" x14ac:dyDescent="0.4">
      <c r="A15" s="24" t="s">
        <v>14</v>
      </c>
      <c r="B15" s="166" t="s">
        <v>57</v>
      </c>
      <c r="C15" s="167"/>
      <c r="D15" s="25">
        <v>60</v>
      </c>
    </row>
    <row r="16" spans="1:4" s="16" customFormat="1" ht="15.5" thickBot="1" x14ac:dyDescent="0.4">
      <c r="A16" s="22"/>
      <c r="B16" s="22"/>
      <c r="C16" s="22"/>
      <c r="D16" s="18"/>
    </row>
    <row r="17" spans="1:6" s="16" customFormat="1" ht="15.5" thickBot="1" x14ac:dyDescent="0.4">
      <c r="A17" s="146" t="s">
        <v>58</v>
      </c>
      <c r="B17" s="147"/>
      <c r="C17" s="147"/>
      <c r="D17" s="147"/>
    </row>
    <row r="18" spans="1:6" s="16" customFormat="1" ht="15" x14ac:dyDescent="0.35">
      <c r="A18" s="168" t="s">
        <v>67</v>
      </c>
      <c r="B18" s="169"/>
      <c r="C18" s="26" t="s">
        <v>68</v>
      </c>
      <c r="D18" s="27" t="s">
        <v>69</v>
      </c>
    </row>
    <row r="19" spans="1:6" s="16" customFormat="1" ht="15.75" customHeight="1" thickBot="1" x14ac:dyDescent="0.4">
      <c r="A19" s="170" t="s">
        <v>135</v>
      </c>
      <c r="B19" s="171"/>
      <c r="C19" s="28" t="s">
        <v>70</v>
      </c>
      <c r="D19" s="25">
        <v>12</v>
      </c>
    </row>
    <row r="20" spans="1:6" s="16" customFormat="1" ht="15" thickBot="1" x14ac:dyDescent="0.4">
      <c r="A20" s="18"/>
      <c r="D20" s="18"/>
    </row>
    <row r="21" spans="1:6" s="16" customFormat="1" ht="15.75" customHeight="1" thickBot="1" x14ac:dyDescent="0.4">
      <c r="A21" s="172" t="s">
        <v>0</v>
      </c>
      <c r="B21" s="173"/>
      <c r="C21" s="173"/>
      <c r="D21" s="174"/>
    </row>
    <row r="22" spans="1:6" s="16" customFormat="1" ht="15" x14ac:dyDescent="0.35">
      <c r="A22" s="7">
        <v>1</v>
      </c>
      <c r="B22" s="162" t="s">
        <v>1</v>
      </c>
      <c r="C22" s="163"/>
      <c r="D22" s="29" t="str">
        <f>A19</f>
        <v>Vigilante Diurno 12x36</v>
      </c>
    </row>
    <row r="23" spans="1:6" s="16" customFormat="1" ht="15" x14ac:dyDescent="0.35">
      <c r="A23" s="4">
        <v>2</v>
      </c>
      <c r="B23" s="164" t="s">
        <v>121</v>
      </c>
      <c r="C23" s="165"/>
      <c r="D23" s="102">
        <v>2723.41</v>
      </c>
    </row>
    <row r="24" spans="1:6" s="16" customFormat="1" ht="15" x14ac:dyDescent="0.35">
      <c r="A24" s="4">
        <v>3</v>
      </c>
      <c r="B24" s="175" t="s">
        <v>115</v>
      </c>
      <c r="C24" s="176"/>
      <c r="D24" s="23" t="str">
        <f>A19</f>
        <v>Vigilante Diurno 12x36</v>
      </c>
    </row>
    <row r="25" spans="1:6" s="16" customFormat="1" ht="15" x14ac:dyDescent="0.35">
      <c r="A25" s="4">
        <v>4</v>
      </c>
      <c r="B25" s="164" t="s">
        <v>2</v>
      </c>
      <c r="C25" s="165"/>
      <c r="D25" s="30" t="s">
        <v>183</v>
      </c>
    </row>
    <row r="26" spans="1:6" s="16" customFormat="1" ht="15.5" thickBot="1" x14ac:dyDescent="0.4">
      <c r="A26" s="24">
        <v>5</v>
      </c>
      <c r="B26" s="166" t="s">
        <v>71</v>
      </c>
      <c r="C26" s="167"/>
      <c r="D26" s="23">
        <v>2</v>
      </c>
    </row>
    <row r="27" spans="1:6" s="16" customFormat="1" ht="15" x14ac:dyDescent="0.35">
      <c r="A27" s="22"/>
      <c r="D27" s="18"/>
    </row>
    <row r="28" spans="1:6" s="16" customFormat="1" ht="16" thickBot="1" x14ac:dyDescent="0.4">
      <c r="A28" s="177" t="s">
        <v>3</v>
      </c>
      <c r="B28" s="177"/>
      <c r="C28" s="177"/>
      <c r="D28" s="177"/>
    </row>
    <row r="29" spans="1:6" s="16" customFormat="1" ht="15.5" thickBot="1" x14ac:dyDescent="0.4">
      <c r="A29" s="14" t="s">
        <v>4</v>
      </c>
      <c r="B29" s="174" t="s">
        <v>5</v>
      </c>
      <c r="C29" s="178"/>
      <c r="D29" s="31" t="s">
        <v>6</v>
      </c>
    </row>
    <row r="30" spans="1:6" s="16" customFormat="1" ht="15" x14ac:dyDescent="0.35">
      <c r="A30" s="7" t="s">
        <v>7</v>
      </c>
      <c r="B30" s="162" t="s">
        <v>8</v>
      </c>
      <c r="C30" s="163"/>
      <c r="D30" s="102">
        <v>2723.41</v>
      </c>
    </row>
    <row r="31" spans="1:6" s="16" customFormat="1" ht="15" x14ac:dyDescent="0.35">
      <c r="A31" s="4" t="s">
        <v>9</v>
      </c>
      <c r="B31" s="164" t="s">
        <v>10</v>
      </c>
      <c r="C31" s="165"/>
      <c r="D31" s="33">
        <f>D30*30%</f>
        <v>817.02</v>
      </c>
    </row>
    <row r="32" spans="1:6" s="16" customFormat="1" ht="15" x14ac:dyDescent="0.35">
      <c r="A32" s="4" t="s">
        <v>11</v>
      </c>
      <c r="B32" s="164" t="s">
        <v>12</v>
      </c>
      <c r="C32" s="165"/>
      <c r="D32" s="33"/>
      <c r="F32" s="34"/>
    </row>
    <row r="33" spans="1:4" s="16" customFormat="1" ht="15" x14ac:dyDescent="0.35">
      <c r="A33" s="4" t="s">
        <v>13</v>
      </c>
      <c r="B33" s="164" t="s">
        <v>72</v>
      </c>
      <c r="C33" s="165"/>
      <c r="D33" s="33">
        <v>337.95</v>
      </c>
    </row>
    <row r="34" spans="1:4" s="16" customFormat="1" ht="15" x14ac:dyDescent="0.35">
      <c r="A34" s="4" t="s">
        <v>14</v>
      </c>
      <c r="B34" s="164" t="s">
        <v>15</v>
      </c>
      <c r="C34" s="165"/>
      <c r="D34" s="33">
        <v>48.27</v>
      </c>
    </row>
    <row r="35" spans="1:4" s="16" customFormat="1" ht="15.75" customHeight="1" x14ac:dyDescent="0.35">
      <c r="A35" s="4" t="s">
        <v>16</v>
      </c>
      <c r="B35" s="175" t="s">
        <v>77</v>
      </c>
      <c r="C35" s="176"/>
      <c r="D35" s="33"/>
    </row>
    <row r="36" spans="1:4" s="16" customFormat="1" ht="15.5" thickBot="1" x14ac:dyDescent="0.4">
      <c r="A36" s="35" t="s">
        <v>17</v>
      </c>
      <c r="B36" s="166" t="s">
        <v>19</v>
      </c>
      <c r="C36" s="167"/>
      <c r="D36" s="36"/>
    </row>
    <row r="37" spans="1:4" s="16" customFormat="1" ht="15.75" customHeight="1" thickBot="1" x14ac:dyDescent="0.4">
      <c r="A37" s="179" t="s">
        <v>20</v>
      </c>
      <c r="B37" s="180"/>
      <c r="C37" s="178"/>
      <c r="D37" s="37">
        <f>SUM(D30:D36)</f>
        <v>3926.65</v>
      </c>
    </row>
    <row r="38" spans="1:4" s="16" customFormat="1" x14ac:dyDescent="0.35">
      <c r="A38" s="38"/>
      <c r="D38" s="18"/>
    </row>
    <row r="39" spans="1:4" s="16" customFormat="1" ht="16" thickBot="1" x14ac:dyDescent="0.4">
      <c r="A39" s="177" t="s">
        <v>21</v>
      </c>
      <c r="B39" s="177"/>
      <c r="C39" s="177"/>
      <c r="D39" s="177"/>
    </row>
    <row r="40" spans="1:4" s="16" customFormat="1" ht="15.5" thickBot="1" x14ac:dyDescent="0.4">
      <c r="A40" s="14" t="s">
        <v>80</v>
      </c>
      <c r="B40" s="15" t="s">
        <v>79</v>
      </c>
      <c r="C40" s="15" t="s">
        <v>27</v>
      </c>
      <c r="D40" s="39" t="s">
        <v>6</v>
      </c>
    </row>
    <row r="41" spans="1:4" s="16" customFormat="1" ht="15" x14ac:dyDescent="0.35">
      <c r="A41" s="7" t="s">
        <v>7</v>
      </c>
      <c r="B41" s="40" t="s">
        <v>37</v>
      </c>
      <c r="C41" s="2">
        <f>1/12</f>
        <v>8.3299999999999999E-2</v>
      </c>
      <c r="D41" s="13">
        <f>C41*D37</f>
        <v>327.08999999999997</v>
      </c>
    </row>
    <row r="42" spans="1:4" s="16" customFormat="1" ht="15.5" thickBot="1" x14ac:dyDescent="0.4">
      <c r="A42" s="7" t="s">
        <v>9</v>
      </c>
      <c r="B42" s="40" t="s">
        <v>78</v>
      </c>
      <c r="C42" s="2">
        <v>0.121</v>
      </c>
      <c r="D42" s="13">
        <f>D37*C42</f>
        <v>475.12</v>
      </c>
    </row>
    <row r="43" spans="1:4" s="16" customFormat="1" ht="15.5" thickBot="1" x14ac:dyDescent="0.4">
      <c r="A43" s="172" t="s">
        <v>35</v>
      </c>
      <c r="B43" s="173"/>
      <c r="C43" s="41">
        <f>SUM(C41:C42)</f>
        <v>0.20430000000000001</v>
      </c>
      <c r="D43" s="12">
        <f>SUM(D41:D42)</f>
        <v>802.21</v>
      </c>
    </row>
    <row r="44" spans="1:4" s="16" customFormat="1" x14ac:dyDescent="0.35">
      <c r="A44" s="38"/>
      <c r="D44" s="18"/>
    </row>
    <row r="45" spans="1:4" s="16" customFormat="1" x14ac:dyDescent="0.35">
      <c r="A45" s="181" t="s">
        <v>120</v>
      </c>
      <c r="B45" s="181"/>
      <c r="C45" s="181"/>
      <c r="D45" s="42">
        <f>D37+D43</f>
        <v>4728.8599999999997</v>
      </c>
    </row>
    <row r="46" spans="1:4" s="16" customFormat="1" x14ac:dyDescent="0.35">
      <c r="A46" s="38"/>
      <c r="D46" s="18"/>
    </row>
    <row r="47" spans="1:4" s="16" customFormat="1" ht="16" thickBot="1" x14ac:dyDescent="0.4">
      <c r="A47" s="177" t="s">
        <v>81</v>
      </c>
      <c r="B47" s="177"/>
      <c r="C47" s="177"/>
      <c r="D47" s="177"/>
    </row>
    <row r="48" spans="1:4" s="16" customFormat="1" ht="15.5" thickBot="1" x14ac:dyDescent="0.4">
      <c r="A48" s="14" t="s">
        <v>82</v>
      </c>
      <c r="B48" s="15" t="s">
        <v>26</v>
      </c>
      <c r="C48" s="15" t="s">
        <v>27</v>
      </c>
      <c r="D48" s="39" t="s">
        <v>6</v>
      </c>
    </row>
    <row r="49" spans="1:4" s="16" customFormat="1" ht="15" x14ac:dyDescent="0.35">
      <c r="A49" s="7" t="s">
        <v>7</v>
      </c>
      <c r="B49" s="40" t="s">
        <v>28</v>
      </c>
      <c r="C49" s="2">
        <v>0.2</v>
      </c>
      <c r="D49" s="13">
        <f>C49*(D37+D43)</f>
        <v>945.77</v>
      </c>
    </row>
    <row r="50" spans="1:4" s="16" customFormat="1" ht="15" x14ac:dyDescent="0.35">
      <c r="A50" s="7" t="s">
        <v>9</v>
      </c>
      <c r="B50" s="43" t="s">
        <v>32</v>
      </c>
      <c r="C50" s="2">
        <v>2.5000000000000001E-2</v>
      </c>
      <c r="D50" s="13">
        <f>C50*(D$37+D43)</f>
        <v>118.22</v>
      </c>
    </row>
    <row r="51" spans="1:4" s="16" customFormat="1" ht="15" x14ac:dyDescent="0.35">
      <c r="A51" s="7" t="s">
        <v>11</v>
      </c>
      <c r="B51" s="5" t="s">
        <v>83</v>
      </c>
      <c r="C51" s="2">
        <v>0.03</v>
      </c>
      <c r="D51" s="13">
        <f>C51*(D$37+D43)</f>
        <v>141.87</v>
      </c>
    </row>
    <row r="52" spans="1:4" s="16" customFormat="1" ht="15" x14ac:dyDescent="0.35">
      <c r="A52" s="4" t="s">
        <v>13</v>
      </c>
      <c r="B52" s="5" t="s">
        <v>29</v>
      </c>
      <c r="C52" s="2">
        <v>1.4999999999999999E-2</v>
      </c>
      <c r="D52" s="13">
        <f>C52*(D$37+D43)</f>
        <v>70.930000000000007</v>
      </c>
    </row>
    <row r="53" spans="1:4" s="16" customFormat="1" ht="15" x14ac:dyDescent="0.35">
      <c r="A53" s="4" t="s">
        <v>14</v>
      </c>
      <c r="B53" s="5" t="s">
        <v>30</v>
      </c>
      <c r="C53" s="2">
        <v>0.01</v>
      </c>
      <c r="D53" s="13">
        <f>C53*(D43+D$37)</f>
        <v>47.29</v>
      </c>
    </row>
    <row r="54" spans="1:4" s="16" customFormat="1" ht="15" x14ac:dyDescent="0.35">
      <c r="A54" s="4" t="s">
        <v>16</v>
      </c>
      <c r="B54" s="44" t="s">
        <v>34</v>
      </c>
      <c r="C54" s="2">
        <v>6.0000000000000001E-3</v>
      </c>
      <c r="D54" s="13">
        <f>C54*(D$37+D43)</f>
        <v>28.37</v>
      </c>
    </row>
    <row r="55" spans="1:4" s="16" customFormat="1" ht="15" x14ac:dyDescent="0.35">
      <c r="A55" s="4" t="s">
        <v>17</v>
      </c>
      <c r="B55" s="5" t="s">
        <v>31</v>
      </c>
      <c r="C55" s="2">
        <v>2E-3</v>
      </c>
      <c r="D55" s="13">
        <f>C55*(D$37+D43)</f>
        <v>9.4600000000000009</v>
      </c>
    </row>
    <row r="56" spans="1:4" s="16" customFormat="1" ht="15.5" thickBot="1" x14ac:dyDescent="0.4">
      <c r="A56" s="4" t="s">
        <v>18</v>
      </c>
      <c r="B56" s="5" t="s">
        <v>33</v>
      </c>
      <c r="C56" s="2">
        <v>0.08</v>
      </c>
      <c r="D56" s="13">
        <f>C56*(D$37+D43)</f>
        <v>378.31</v>
      </c>
    </row>
    <row r="57" spans="1:4" s="16" customFormat="1" ht="15.5" thickBot="1" x14ac:dyDescent="0.4">
      <c r="A57" s="172" t="s">
        <v>35</v>
      </c>
      <c r="B57" s="173"/>
      <c r="C57" s="41">
        <f>SUM(C49:C56)</f>
        <v>0.36799999999999999</v>
      </c>
      <c r="D57" s="45">
        <f>SUM(D49:D56)</f>
        <v>1740.22</v>
      </c>
    </row>
    <row r="58" spans="1:4" s="16" customFormat="1" x14ac:dyDescent="0.35">
      <c r="A58" s="38"/>
      <c r="D58" s="18"/>
    </row>
    <row r="59" spans="1:4" s="16" customFormat="1" ht="16" thickBot="1" x14ac:dyDescent="0.4">
      <c r="A59" s="177" t="s">
        <v>84</v>
      </c>
      <c r="B59" s="177"/>
      <c r="C59" s="177"/>
      <c r="D59" s="177"/>
    </row>
    <row r="60" spans="1:4" s="16" customFormat="1" ht="15.5" thickBot="1" x14ac:dyDescent="0.4">
      <c r="A60" s="14" t="s">
        <v>85</v>
      </c>
      <c r="B60" s="15" t="s">
        <v>22</v>
      </c>
      <c r="C60" s="174" t="s">
        <v>6</v>
      </c>
      <c r="D60" s="180"/>
    </row>
    <row r="61" spans="1:4" s="16" customFormat="1" ht="15" x14ac:dyDescent="0.35">
      <c r="A61" s="7" t="s">
        <v>7</v>
      </c>
      <c r="B61" s="40" t="s">
        <v>163</v>
      </c>
      <c r="C61" s="182">
        <v>165</v>
      </c>
      <c r="D61" s="183"/>
    </row>
    <row r="62" spans="1:4" s="16" customFormat="1" ht="15" x14ac:dyDescent="0.35">
      <c r="A62" s="4" t="s">
        <v>48</v>
      </c>
      <c r="B62" s="5" t="s">
        <v>49</v>
      </c>
      <c r="C62" s="184">
        <f>-(6%*D30)</f>
        <v>-163.4</v>
      </c>
      <c r="D62" s="185"/>
    </row>
    <row r="63" spans="1:4" s="16" customFormat="1" ht="15" x14ac:dyDescent="0.35">
      <c r="A63" s="4" t="s">
        <v>9</v>
      </c>
      <c r="B63" s="5" t="s">
        <v>182</v>
      </c>
      <c r="C63" s="184">
        <f>15*47.37</f>
        <v>710.55</v>
      </c>
      <c r="D63" s="185"/>
    </row>
    <row r="64" spans="1:4" s="16" customFormat="1" ht="15" x14ac:dyDescent="0.35">
      <c r="A64" s="4" t="s">
        <v>134</v>
      </c>
      <c r="B64" s="5" t="s">
        <v>148</v>
      </c>
      <c r="C64" s="184">
        <f>-(47.37*2%)*15</f>
        <v>-14.21</v>
      </c>
      <c r="D64" s="185"/>
    </row>
    <row r="65" spans="1:4" s="16" customFormat="1" ht="15.5" thickBot="1" x14ac:dyDescent="0.4">
      <c r="A65" s="6" t="s">
        <v>11</v>
      </c>
      <c r="B65" s="5" t="s">
        <v>188</v>
      </c>
      <c r="C65" s="191">
        <v>10.34</v>
      </c>
      <c r="D65" s="192"/>
    </row>
    <row r="66" spans="1:4" s="16" customFormat="1" ht="15" customHeight="1" thickBot="1" x14ac:dyDescent="0.4">
      <c r="A66" s="186" t="s">
        <v>23</v>
      </c>
      <c r="B66" s="187"/>
      <c r="C66" s="188">
        <f>SUM(C61:D65)</f>
        <v>708.28</v>
      </c>
      <c r="D66" s="188"/>
    </row>
    <row r="67" spans="1:4" s="16" customFormat="1" x14ac:dyDescent="0.35">
      <c r="A67" s="189"/>
      <c r="B67" s="189"/>
      <c r="C67" s="189"/>
      <c r="D67" s="189"/>
    </row>
    <row r="68" spans="1:4" s="16" customFormat="1" ht="16" thickBot="1" x14ac:dyDescent="0.4">
      <c r="A68" s="190" t="s">
        <v>92</v>
      </c>
      <c r="B68" s="190"/>
      <c r="C68" s="190"/>
      <c r="D68" s="46"/>
    </row>
    <row r="69" spans="1:4" s="16" customFormat="1" ht="15.5" thickBot="1" x14ac:dyDescent="0.4">
      <c r="A69" s="14">
        <v>2</v>
      </c>
      <c r="B69" s="15" t="s">
        <v>86</v>
      </c>
      <c r="C69" s="15" t="s">
        <v>6</v>
      </c>
      <c r="D69" s="47"/>
    </row>
    <row r="70" spans="1:4" s="16" customFormat="1" ht="15" x14ac:dyDescent="0.35">
      <c r="A70" s="6" t="s">
        <v>80</v>
      </c>
      <c r="B70" s="5" t="s">
        <v>79</v>
      </c>
      <c r="C70" s="48">
        <f>D43</f>
        <v>802.21</v>
      </c>
      <c r="D70" s="47"/>
    </row>
    <row r="71" spans="1:4" s="16" customFormat="1" ht="15" x14ac:dyDescent="0.35">
      <c r="A71" s="6" t="s">
        <v>82</v>
      </c>
      <c r="B71" s="5" t="s">
        <v>87</v>
      </c>
      <c r="C71" s="48">
        <f>D57</f>
        <v>1740.22</v>
      </c>
      <c r="D71" s="47"/>
    </row>
    <row r="72" spans="1:4" s="16" customFormat="1" ht="15.5" thickBot="1" x14ac:dyDescent="0.4">
      <c r="A72" s="6" t="s">
        <v>85</v>
      </c>
      <c r="B72" s="5" t="s">
        <v>22</v>
      </c>
      <c r="C72" s="48">
        <f>C66</f>
        <v>708.28</v>
      </c>
      <c r="D72" s="47"/>
    </row>
    <row r="73" spans="1:4" s="16" customFormat="1" ht="15" customHeight="1" thickBot="1" x14ac:dyDescent="0.4">
      <c r="A73" s="179" t="s">
        <v>88</v>
      </c>
      <c r="B73" s="180"/>
      <c r="C73" s="49">
        <f>SUM(C70:C72)</f>
        <v>3250.71</v>
      </c>
      <c r="D73" s="47"/>
    </row>
    <row r="74" spans="1:4" s="16" customFormat="1" ht="15" customHeight="1" x14ac:dyDescent="0.35">
      <c r="A74" s="47"/>
      <c r="B74" s="47"/>
      <c r="C74" s="47"/>
      <c r="D74" s="47"/>
    </row>
    <row r="75" spans="1:4" s="16" customFormat="1" ht="15" customHeight="1" thickBot="1" x14ac:dyDescent="0.4">
      <c r="A75" s="177" t="s">
        <v>89</v>
      </c>
      <c r="B75" s="177"/>
      <c r="C75" s="177"/>
      <c r="D75" s="177"/>
    </row>
    <row r="76" spans="1:4" s="16" customFormat="1" ht="15" customHeight="1" thickBot="1" x14ac:dyDescent="0.4">
      <c r="A76" s="14">
        <v>3</v>
      </c>
      <c r="B76" s="15" t="s">
        <v>38</v>
      </c>
      <c r="C76" s="15" t="s">
        <v>27</v>
      </c>
      <c r="D76" s="39" t="s">
        <v>6</v>
      </c>
    </row>
    <row r="77" spans="1:4" s="16" customFormat="1" ht="15" x14ac:dyDescent="0.35">
      <c r="A77" s="7" t="s">
        <v>7</v>
      </c>
      <c r="B77" s="40" t="s">
        <v>75</v>
      </c>
      <c r="C77" s="3">
        <v>1.8100000000000002E-2</v>
      </c>
      <c r="D77" s="13">
        <f t="shared" ref="D77:D82" si="0">C77*($D$37+$C$73)</f>
        <v>129.91</v>
      </c>
    </row>
    <row r="78" spans="1:4" s="16" customFormat="1" ht="15" customHeight="1" x14ac:dyDescent="0.35">
      <c r="A78" s="4" t="s">
        <v>9</v>
      </c>
      <c r="B78" s="5" t="s">
        <v>74</v>
      </c>
      <c r="C78" s="3">
        <v>1.4E-3</v>
      </c>
      <c r="D78" s="13">
        <f t="shared" si="0"/>
        <v>10.050000000000001</v>
      </c>
    </row>
    <row r="79" spans="1:4" s="16" customFormat="1" ht="15" customHeight="1" x14ac:dyDescent="0.35">
      <c r="A79" s="4" t="s">
        <v>11</v>
      </c>
      <c r="B79" s="5" t="s">
        <v>116</v>
      </c>
      <c r="C79" s="3">
        <v>3.4000000000000002E-2</v>
      </c>
      <c r="D79" s="13">
        <f t="shared" si="0"/>
        <v>244.03</v>
      </c>
    </row>
    <row r="80" spans="1:4" s="16" customFormat="1" ht="15" customHeight="1" x14ac:dyDescent="0.35">
      <c r="A80" s="4" t="s">
        <v>13</v>
      </c>
      <c r="B80" s="5" t="s">
        <v>76</v>
      </c>
      <c r="C80" s="3">
        <v>2.8999999999999998E-3</v>
      </c>
      <c r="D80" s="13">
        <f t="shared" si="0"/>
        <v>20.81</v>
      </c>
    </row>
    <row r="81" spans="1:6" s="16" customFormat="1" ht="15" customHeight="1" x14ac:dyDescent="0.35">
      <c r="A81" s="4" t="s">
        <v>14</v>
      </c>
      <c r="B81" s="5" t="s">
        <v>90</v>
      </c>
      <c r="C81" s="3">
        <f>C80*C57</f>
        <v>1.1000000000000001E-3</v>
      </c>
      <c r="D81" s="13">
        <f t="shared" si="0"/>
        <v>7.9</v>
      </c>
    </row>
    <row r="82" spans="1:6" s="16" customFormat="1" ht="15" customHeight="1" thickBot="1" x14ac:dyDescent="0.4">
      <c r="A82" s="35" t="s">
        <v>16</v>
      </c>
      <c r="B82" s="50" t="s">
        <v>111</v>
      </c>
      <c r="C82" s="103">
        <v>6.0000000000000001E-3</v>
      </c>
      <c r="D82" s="13">
        <f t="shared" si="0"/>
        <v>43.06</v>
      </c>
      <c r="F82" s="51"/>
    </row>
    <row r="83" spans="1:6" s="16" customFormat="1" ht="15" customHeight="1" thickBot="1" x14ac:dyDescent="0.4">
      <c r="A83" s="172" t="s">
        <v>35</v>
      </c>
      <c r="B83" s="173"/>
      <c r="C83" s="41">
        <f>SUM(C77:C82)</f>
        <v>6.3500000000000001E-2</v>
      </c>
      <c r="D83" s="12">
        <f>SUM(D77:D82)</f>
        <v>455.76</v>
      </c>
    </row>
    <row r="84" spans="1:6" s="16" customFormat="1" ht="15" customHeight="1" x14ac:dyDescent="0.35">
      <c r="A84" s="52"/>
      <c r="B84" s="52"/>
      <c r="C84" s="52"/>
      <c r="D84" s="52"/>
    </row>
    <row r="85" spans="1:6" s="16" customFormat="1" ht="15" customHeight="1" x14ac:dyDescent="0.35">
      <c r="A85" s="177" t="s">
        <v>91</v>
      </c>
      <c r="B85" s="177"/>
      <c r="C85" s="177"/>
      <c r="D85" s="177"/>
    </row>
    <row r="86" spans="1:6" s="16" customFormat="1" ht="15" customHeight="1" x14ac:dyDescent="0.35">
      <c r="A86" s="177" t="s">
        <v>93</v>
      </c>
      <c r="B86" s="177"/>
      <c r="C86" s="177"/>
      <c r="D86" s="177"/>
    </row>
    <row r="87" spans="1:6" s="16" customFormat="1" ht="15" customHeight="1" x14ac:dyDescent="0.35">
      <c r="A87" s="84" t="s">
        <v>25</v>
      </c>
      <c r="B87" s="84" t="s">
        <v>94</v>
      </c>
      <c r="C87" s="84" t="s">
        <v>27</v>
      </c>
      <c r="D87" s="84" t="s">
        <v>6</v>
      </c>
    </row>
    <row r="88" spans="1:6" s="16" customFormat="1" ht="15" x14ac:dyDescent="0.35">
      <c r="A88" s="6" t="s">
        <v>7</v>
      </c>
      <c r="B88" s="5" t="s">
        <v>117</v>
      </c>
      <c r="C88" s="11">
        <v>9.4999999999999998E-3</v>
      </c>
      <c r="D88" s="95">
        <f>$D$37*C88</f>
        <v>37.299999999999997</v>
      </c>
    </row>
    <row r="89" spans="1:6" s="16" customFormat="1" ht="15" x14ac:dyDescent="0.35">
      <c r="A89" s="6" t="s">
        <v>9</v>
      </c>
      <c r="B89" s="5" t="s">
        <v>95</v>
      </c>
      <c r="C89" s="11">
        <v>3.8800000000000001E-2</v>
      </c>
      <c r="D89" s="95">
        <f t="shared" ref="D89:D92" si="1">$D$37*C89</f>
        <v>152.35</v>
      </c>
    </row>
    <row r="90" spans="1:6" s="16" customFormat="1" ht="15" x14ac:dyDescent="0.35">
      <c r="A90" s="6" t="s">
        <v>11</v>
      </c>
      <c r="B90" s="5" t="s">
        <v>96</v>
      </c>
      <c r="C90" s="11">
        <v>1E-3</v>
      </c>
      <c r="D90" s="95">
        <f t="shared" si="1"/>
        <v>3.93</v>
      </c>
    </row>
    <row r="91" spans="1:6" s="16" customFormat="1" ht="15" x14ac:dyDescent="0.35">
      <c r="A91" s="6" t="s">
        <v>13</v>
      </c>
      <c r="B91" s="5" t="s">
        <v>114</v>
      </c>
      <c r="C91" s="11">
        <v>2.0000000000000001E-4</v>
      </c>
      <c r="D91" s="95">
        <f t="shared" si="1"/>
        <v>0.79</v>
      </c>
    </row>
    <row r="92" spans="1:6" s="16" customFormat="1" ht="15" x14ac:dyDescent="0.35">
      <c r="A92" s="6" t="s">
        <v>14</v>
      </c>
      <c r="B92" s="5" t="s">
        <v>112</v>
      </c>
      <c r="C92" s="11">
        <v>4.1999999999999997E-3</v>
      </c>
      <c r="D92" s="95">
        <f t="shared" si="1"/>
        <v>16.489999999999998</v>
      </c>
    </row>
    <row r="93" spans="1:6" s="16" customFormat="1" ht="15" x14ac:dyDescent="0.35">
      <c r="A93" s="6" t="s">
        <v>16</v>
      </c>
      <c r="B93" s="5" t="s">
        <v>19</v>
      </c>
      <c r="C93" s="11"/>
      <c r="D93" s="95">
        <f>C93*($D$37+$C$73+$D$83)</f>
        <v>0</v>
      </c>
    </row>
    <row r="94" spans="1:6" s="16" customFormat="1" ht="15" x14ac:dyDescent="0.35">
      <c r="A94" s="193" t="s">
        <v>35</v>
      </c>
      <c r="B94" s="193"/>
      <c r="C94" s="96">
        <f>SUM(C88:C93)</f>
        <v>5.3699999999999998E-2</v>
      </c>
      <c r="D94" s="95">
        <f>SUM(D88:D93)</f>
        <v>210.86</v>
      </c>
    </row>
    <row r="95" spans="1:6" s="16" customFormat="1" x14ac:dyDescent="0.35"/>
    <row r="96" spans="1:6" s="16" customFormat="1" ht="16" thickBot="1" x14ac:dyDescent="0.4">
      <c r="A96" s="194" t="s">
        <v>97</v>
      </c>
      <c r="B96" s="194"/>
      <c r="C96" s="194"/>
      <c r="D96" s="194"/>
    </row>
    <row r="97" spans="1:4" s="16" customFormat="1" ht="15.5" thickBot="1" x14ac:dyDescent="0.4">
      <c r="A97" s="14" t="s">
        <v>36</v>
      </c>
      <c r="B97" s="15" t="s">
        <v>98</v>
      </c>
      <c r="C97" s="54" t="s">
        <v>6</v>
      </c>
    </row>
    <row r="98" spans="1:4" s="16" customFormat="1" ht="15.5" thickBot="1" x14ac:dyDescent="0.4">
      <c r="A98" s="7" t="s">
        <v>7</v>
      </c>
      <c r="B98" s="40" t="s">
        <v>99</v>
      </c>
      <c r="C98" s="55">
        <v>0</v>
      </c>
    </row>
    <row r="99" spans="1:4" s="16" customFormat="1" ht="15.5" thickBot="1" x14ac:dyDescent="0.4">
      <c r="A99" s="172" t="s">
        <v>35</v>
      </c>
      <c r="B99" s="173"/>
      <c r="C99" s="56"/>
    </row>
    <row r="100" spans="1:4" s="16" customFormat="1" x14ac:dyDescent="0.35"/>
    <row r="101" spans="1:4" s="16" customFormat="1" ht="15" thickBot="1" x14ac:dyDescent="0.4">
      <c r="A101" s="195" t="s">
        <v>100</v>
      </c>
      <c r="B101" s="195"/>
      <c r="C101" s="195"/>
    </row>
    <row r="102" spans="1:4" s="16" customFormat="1" ht="15.5" thickBot="1" x14ac:dyDescent="0.4">
      <c r="A102" s="14">
        <v>4</v>
      </c>
      <c r="B102" s="15" t="s">
        <v>39</v>
      </c>
      <c r="C102" s="54" t="s">
        <v>6</v>
      </c>
    </row>
    <row r="103" spans="1:4" s="16" customFormat="1" ht="15" x14ac:dyDescent="0.35">
      <c r="A103" s="4" t="s">
        <v>25</v>
      </c>
      <c r="B103" s="40" t="s">
        <v>94</v>
      </c>
      <c r="C103" s="55">
        <f>D94</f>
        <v>210.86</v>
      </c>
    </row>
    <row r="104" spans="1:4" s="16" customFormat="1" ht="15.5" thickBot="1" x14ac:dyDescent="0.4">
      <c r="A104" s="4" t="s">
        <v>36</v>
      </c>
      <c r="B104" s="57" t="s">
        <v>98</v>
      </c>
      <c r="C104" s="55">
        <f>C98</f>
        <v>0</v>
      </c>
    </row>
    <row r="105" spans="1:4" s="16" customFormat="1" ht="15.5" thickBot="1" x14ac:dyDescent="0.4">
      <c r="A105" s="172" t="s">
        <v>35</v>
      </c>
      <c r="B105" s="173"/>
      <c r="C105" s="58">
        <f>SUM(C103:C104)</f>
        <v>210.86</v>
      </c>
    </row>
    <row r="106" spans="1:4" s="16" customFormat="1" x14ac:dyDescent="0.35">
      <c r="A106" s="38"/>
      <c r="D106" s="18"/>
    </row>
    <row r="107" spans="1:4" s="16" customFormat="1" ht="16" thickBot="1" x14ac:dyDescent="0.4">
      <c r="A107" s="177" t="s">
        <v>101</v>
      </c>
      <c r="B107" s="177"/>
      <c r="C107" s="177"/>
      <c r="D107" s="177"/>
    </row>
    <row r="108" spans="1:4" s="16" customFormat="1" ht="15.5" thickBot="1" x14ac:dyDescent="0.4">
      <c r="A108" s="14">
        <v>5</v>
      </c>
      <c r="B108" s="174" t="s">
        <v>24</v>
      </c>
      <c r="C108" s="178"/>
      <c r="D108" s="31" t="s">
        <v>6</v>
      </c>
    </row>
    <row r="109" spans="1:4" s="16" customFormat="1" ht="15" x14ac:dyDescent="0.35">
      <c r="A109" s="7" t="s">
        <v>7</v>
      </c>
      <c r="B109" s="162" t="s">
        <v>73</v>
      </c>
      <c r="C109" s="163"/>
      <c r="D109" s="32">
        <v>181.65</v>
      </c>
    </row>
    <row r="110" spans="1:4" s="16" customFormat="1" ht="15" x14ac:dyDescent="0.35">
      <c r="A110" s="4" t="s">
        <v>9</v>
      </c>
      <c r="B110" s="164" t="s">
        <v>187</v>
      </c>
      <c r="C110" s="165"/>
      <c r="D110" s="33">
        <f>'Equipamentos - uso comum '!K25</f>
        <v>17.12</v>
      </c>
    </row>
    <row r="111" spans="1:4" s="16" customFormat="1" ht="15.5" thickBot="1" x14ac:dyDescent="0.4">
      <c r="A111" s="35" t="s">
        <v>13</v>
      </c>
      <c r="B111" s="166" t="s">
        <v>19</v>
      </c>
      <c r="C111" s="167"/>
      <c r="D111" s="36"/>
    </row>
    <row r="112" spans="1:4" s="16" customFormat="1" ht="15.75" customHeight="1" thickBot="1" x14ac:dyDescent="0.4">
      <c r="A112" s="179" t="s">
        <v>63</v>
      </c>
      <c r="B112" s="180"/>
      <c r="C112" s="178"/>
      <c r="D112" s="37">
        <f>SUM(D109:D111)</f>
        <v>198.77</v>
      </c>
    </row>
    <row r="113" spans="1:4" s="16" customFormat="1" x14ac:dyDescent="0.35"/>
    <row r="114" spans="1:4" s="16" customFormat="1" ht="16" thickBot="1" x14ac:dyDescent="0.4">
      <c r="A114" s="177" t="s">
        <v>102</v>
      </c>
      <c r="B114" s="177"/>
      <c r="C114" s="177"/>
      <c r="D114" s="177"/>
    </row>
    <row r="115" spans="1:4" s="16" customFormat="1" ht="15.5" thickBot="1" x14ac:dyDescent="0.4">
      <c r="A115" s="14">
        <v>5</v>
      </c>
      <c r="B115" s="15" t="s">
        <v>40</v>
      </c>
      <c r="C115" s="53" t="s">
        <v>27</v>
      </c>
      <c r="D115" s="39" t="s">
        <v>6</v>
      </c>
    </row>
    <row r="116" spans="1:4" s="16" customFormat="1" ht="15" x14ac:dyDescent="0.35">
      <c r="A116" s="7" t="s">
        <v>7</v>
      </c>
      <c r="B116" s="8" t="s">
        <v>41</v>
      </c>
      <c r="C116" s="9">
        <v>1.6199999999999999E-2</v>
      </c>
      <c r="D116" s="59">
        <f>C116*$D$132</f>
        <v>130.29</v>
      </c>
    </row>
    <row r="117" spans="1:4" s="16" customFormat="1" ht="15" x14ac:dyDescent="0.35">
      <c r="A117" s="4" t="s">
        <v>9</v>
      </c>
      <c r="B117" s="10" t="s">
        <v>44</v>
      </c>
      <c r="C117" s="9">
        <v>1.3899999999999999E-2</v>
      </c>
      <c r="D117" s="59">
        <f>C117*(D116+$D$132)</f>
        <v>113.61</v>
      </c>
    </row>
    <row r="118" spans="1:4" s="16" customFormat="1" ht="15" x14ac:dyDescent="0.35">
      <c r="A118" s="4" t="s">
        <v>11</v>
      </c>
      <c r="B118" s="5" t="s">
        <v>42</v>
      </c>
      <c r="C118" s="60">
        <f>SUM(C119:C122)</f>
        <v>8.6499999999999994E-2</v>
      </c>
      <c r="D118" s="61"/>
    </row>
    <row r="119" spans="1:4" s="16" customFormat="1" ht="15" x14ac:dyDescent="0.35">
      <c r="A119" s="4" t="s">
        <v>59</v>
      </c>
      <c r="B119" s="5" t="s">
        <v>43</v>
      </c>
      <c r="C119" s="62">
        <v>0</v>
      </c>
      <c r="D119" s="61"/>
    </row>
    <row r="120" spans="1:4" s="16" customFormat="1" ht="15" x14ac:dyDescent="0.35">
      <c r="A120" s="4" t="s">
        <v>60</v>
      </c>
      <c r="B120" s="5" t="s">
        <v>50</v>
      </c>
      <c r="C120" s="62">
        <v>6.4999999999999997E-3</v>
      </c>
      <c r="D120" s="61">
        <f>(D132+D116+D117)/(1-C118)*C120</f>
        <v>58.96</v>
      </c>
    </row>
    <row r="121" spans="1:4" s="16" customFormat="1" ht="15" x14ac:dyDescent="0.35">
      <c r="A121" s="4" t="s">
        <v>61</v>
      </c>
      <c r="B121" s="5" t="s">
        <v>51</v>
      </c>
      <c r="C121" s="62">
        <v>0.03</v>
      </c>
      <c r="D121" s="61">
        <f>(D132+D116+D117)/(1-C118)*C121</f>
        <v>272.14</v>
      </c>
    </row>
    <row r="122" spans="1:4" s="16" customFormat="1" ht="15.5" thickBot="1" x14ac:dyDescent="0.4">
      <c r="A122" s="4" t="s">
        <v>103</v>
      </c>
      <c r="B122" s="43" t="s">
        <v>113</v>
      </c>
      <c r="C122" s="62">
        <v>0.05</v>
      </c>
      <c r="D122" s="61">
        <f>(D132+D116+D117)/(1-C118)*C122</f>
        <v>453.57</v>
      </c>
    </row>
    <row r="123" spans="1:4" s="16" customFormat="1" ht="15.5" thickBot="1" x14ac:dyDescent="0.4">
      <c r="A123" s="172" t="s">
        <v>35</v>
      </c>
      <c r="B123" s="173"/>
      <c r="C123" s="173"/>
      <c r="D123" s="63">
        <f>SUM(D116:D122)</f>
        <v>1028.57</v>
      </c>
    </row>
    <row r="124" spans="1:4" s="16" customFormat="1" ht="15.75" customHeight="1" x14ac:dyDescent="0.35">
      <c r="A124" s="38"/>
      <c r="D124" s="18"/>
    </row>
    <row r="125" spans="1:4" s="16" customFormat="1" ht="16" thickBot="1" x14ac:dyDescent="0.4">
      <c r="A125" s="202" t="s">
        <v>110</v>
      </c>
      <c r="B125" s="202"/>
      <c r="C125" s="202"/>
      <c r="D125" s="202"/>
    </row>
    <row r="126" spans="1:4" s="16" customFormat="1" ht="15.75" customHeight="1" thickBot="1" x14ac:dyDescent="0.4">
      <c r="A126" s="179" t="s">
        <v>45</v>
      </c>
      <c r="B126" s="180"/>
      <c r="C126" s="178"/>
      <c r="D126" s="39" t="s">
        <v>46</v>
      </c>
    </row>
    <row r="127" spans="1:4" s="16" customFormat="1" ht="15" x14ac:dyDescent="0.35">
      <c r="A127" s="7" t="s">
        <v>7</v>
      </c>
      <c r="B127" s="162" t="s">
        <v>47</v>
      </c>
      <c r="C127" s="163"/>
      <c r="D127" s="64">
        <f>D37</f>
        <v>3926.65</v>
      </c>
    </row>
    <row r="128" spans="1:4" s="16" customFormat="1" ht="15" x14ac:dyDescent="0.35">
      <c r="A128" s="4" t="s">
        <v>9</v>
      </c>
      <c r="B128" s="164" t="s">
        <v>104</v>
      </c>
      <c r="C128" s="165"/>
      <c r="D128" s="65">
        <f>C73</f>
        <v>3250.71</v>
      </c>
    </row>
    <row r="129" spans="1:4" s="16" customFormat="1" ht="15" x14ac:dyDescent="0.35">
      <c r="A129" s="4" t="s">
        <v>11</v>
      </c>
      <c r="B129" s="164" t="s">
        <v>105</v>
      </c>
      <c r="C129" s="165"/>
      <c r="D129" s="65">
        <f>D83</f>
        <v>455.76</v>
      </c>
    </row>
    <row r="130" spans="1:4" s="16" customFormat="1" ht="15" customHeight="1" x14ac:dyDescent="0.35">
      <c r="A130" s="4" t="s">
        <v>13</v>
      </c>
      <c r="B130" s="66" t="s">
        <v>106</v>
      </c>
      <c r="C130" s="67"/>
      <c r="D130" s="65">
        <f>C105</f>
        <v>210.86</v>
      </c>
    </row>
    <row r="131" spans="1:4" s="16" customFormat="1" ht="15" x14ac:dyDescent="0.35">
      <c r="A131" s="4" t="s">
        <v>14</v>
      </c>
      <c r="B131" s="164" t="s">
        <v>107</v>
      </c>
      <c r="C131" s="165"/>
      <c r="D131" s="65">
        <f>D112</f>
        <v>198.77</v>
      </c>
    </row>
    <row r="132" spans="1:4" s="16" customFormat="1" ht="15" customHeight="1" x14ac:dyDescent="0.35">
      <c r="A132" s="196" t="s">
        <v>108</v>
      </c>
      <c r="B132" s="197"/>
      <c r="C132" s="198"/>
      <c r="D132" s="65">
        <f>SUM(D127:D131)</f>
        <v>8042.75</v>
      </c>
    </row>
    <row r="133" spans="1:4" s="16" customFormat="1" ht="15.75" customHeight="1" x14ac:dyDescent="0.35">
      <c r="A133" s="35" t="s">
        <v>16</v>
      </c>
      <c r="B133" s="199" t="s">
        <v>109</v>
      </c>
      <c r="C133" s="200"/>
      <c r="D133" s="68">
        <f>D123</f>
        <v>1028.57</v>
      </c>
    </row>
    <row r="134" spans="1:4" s="16" customFormat="1" ht="15" customHeight="1" x14ac:dyDescent="0.35">
      <c r="A134" s="193" t="s">
        <v>118</v>
      </c>
      <c r="B134" s="193"/>
      <c r="C134" s="193"/>
      <c r="D134" s="69">
        <f>SUM(D132:D133)</f>
        <v>9071.32</v>
      </c>
    </row>
    <row r="135" spans="1:4" s="16" customFormat="1" ht="15.75" customHeight="1" thickBot="1" x14ac:dyDescent="0.4">
      <c r="A135" s="186" t="s">
        <v>119</v>
      </c>
      <c r="B135" s="187"/>
      <c r="C135" s="201"/>
      <c r="D135" s="70">
        <f>SUM(D132:D133)*2</f>
        <v>18142.64</v>
      </c>
    </row>
  </sheetData>
  <mergeCells count="74">
    <mergeCell ref="A132:C132"/>
    <mergeCell ref="B133:C133"/>
    <mergeCell ref="A134:C134"/>
    <mergeCell ref="A135:C135"/>
    <mergeCell ref="A125:D125"/>
    <mergeCell ref="A126:C126"/>
    <mergeCell ref="B127:C127"/>
    <mergeCell ref="B128:C128"/>
    <mergeCell ref="B129:C129"/>
    <mergeCell ref="B131:C131"/>
    <mergeCell ref="A123:C123"/>
    <mergeCell ref="A99:B99"/>
    <mergeCell ref="A101:C101"/>
    <mergeCell ref="A105:B105"/>
    <mergeCell ref="A107:D107"/>
    <mergeCell ref="B108:C108"/>
    <mergeCell ref="B109:C109"/>
    <mergeCell ref="B110:C110"/>
    <mergeCell ref="B111:C111"/>
    <mergeCell ref="A112:C112"/>
    <mergeCell ref="A114:D114"/>
    <mergeCell ref="C64:D64"/>
    <mergeCell ref="A96:D96"/>
    <mergeCell ref="A66:B66"/>
    <mergeCell ref="C66:D66"/>
    <mergeCell ref="A67:D67"/>
    <mergeCell ref="A68:C68"/>
    <mergeCell ref="A73:B73"/>
    <mergeCell ref="A75:D75"/>
    <mergeCell ref="A83:B83"/>
    <mergeCell ref="A85:D85"/>
    <mergeCell ref="A86:D86"/>
    <mergeCell ref="A94:B94"/>
    <mergeCell ref="C65:D65"/>
    <mergeCell ref="A59:D59"/>
    <mergeCell ref="C60:D60"/>
    <mergeCell ref="C61:D61"/>
    <mergeCell ref="C62:D62"/>
    <mergeCell ref="C63:D63"/>
    <mergeCell ref="A39:D39"/>
    <mergeCell ref="A43:B43"/>
    <mergeCell ref="A45:C45"/>
    <mergeCell ref="A47:D47"/>
    <mergeCell ref="A57:B57"/>
    <mergeCell ref="A37:C37"/>
    <mergeCell ref="B25:C25"/>
    <mergeCell ref="B26:C26"/>
    <mergeCell ref="A28:D28"/>
    <mergeCell ref="B29:C29"/>
    <mergeCell ref="B30:C30"/>
    <mergeCell ref="B31:C31"/>
    <mergeCell ref="B32:C32"/>
    <mergeCell ref="B33:C33"/>
    <mergeCell ref="B34:C34"/>
    <mergeCell ref="B35:C35"/>
    <mergeCell ref="B36:C36"/>
    <mergeCell ref="B24:C24"/>
    <mergeCell ref="B11:C11"/>
    <mergeCell ref="B12:C12"/>
    <mergeCell ref="B13:C13"/>
    <mergeCell ref="B14:C14"/>
    <mergeCell ref="B15:C15"/>
    <mergeCell ref="A17:D17"/>
    <mergeCell ref="A18:B18"/>
    <mergeCell ref="A19:B19"/>
    <mergeCell ref="A21:D21"/>
    <mergeCell ref="B22:C22"/>
    <mergeCell ref="B23:C23"/>
    <mergeCell ref="A10:D10"/>
    <mergeCell ref="A1:D2"/>
    <mergeCell ref="A3:D4"/>
    <mergeCell ref="B6:D6"/>
    <mergeCell ref="B7:D7"/>
    <mergeCell ref="B8:D8"/>
  </mergeCells>
  <printOptions horizontalCentered="1"/>
  <pageMargins left="0.23622047244094491" right="0.23622047244094491" top="0.86614173228346458" bottom="0.43307086614173229" header="0.15748031496062992" footer="0.31496062992125984"/>
  <pageSetup paperSize="9" scale="6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F6C86-8AA1-4EAE-8E34-E5FA77559104}">
  <dimension ref="A1:T25"/>
  <sheetViews>
    <sheetView topLeftCell="A12" zoomScale="70" zoomScaleNormal="70" workbookViewId="0">
      <selection activeCell="D26" sqref="D26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30.36328125" style="76" customWidth="1"/>
    <col min="11" max="11" width="11.453125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27" customHeight="1" thickBot="1" x14ac:dyDescent="0.4">
      <c r="A1" s="213" t="s">
        <v>206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207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157</v>
      </c>
      <c r="B6" s="77">
        <v>11</v>
      </c>
      <c r="C6" s="77">
        <v>11</v>
      </c>
      <c r="D6" s="100">
        <v>12834.86</v>
      </c>
      <c r="E6" s="100"/>
      <c r="F6" s="124">
        <v>11436.5</v>
      </c>
      <c r="G6" s="123">
        <v>12419.6</v>
      </c>
      <c r="H6" s="123">
        <v>12384.86</v>
      </c>
      <c r="I6" s="123">
        <v>13796.72</v>
      </c>
      <c r="J6" s="80">
        <f t="shared" ref="J6:J9" si="0">AVERAGE(D6,E6:F6,G6:I6)</f>
        <v>12574.51</v>
      </c>
      <c r="K6" s="83">
        <v>11</v>
      </c>
      <c r="L6" s="79">
        <f t="shared" ref="L6:L9" si="1">J6*K6</f>
        <v>138319.60999999999</v>
      </c>
      <c r="M6" s="85">
        <v>37</v>
      </c>
      <c r="N6" s="90">
        <f t="shared" ref="N6:N9" si="2">(J6/M6)*K6</f>
        <v>3738.37</v>
      </c>
    </row>
    <row r="7" spans="1:20" x14ac:dyDescent="0.35">
      <c r="A7" s="77" t="s">
        <v>184</v>
      </c>
      <c r="B7" s="77">
        <v>11</v>
      </c>
      <c r="C7" s="77">
        <v>11</v>
      </c>
      <c r="D7" s="100">
        <v>1520</v>
      </c>
      <c r="E7" s="100"/>
      <c r="F7" s="78">
        <v>1215</v>
      </c>
      <c r="G7" s="100">
        <v>1300</v>
      </c>
      <c r="H7" s="100">
        <v>1430</v>
      </c>
      <c r="I7" s="100">
        <v>1430</v>
      </c>
      <c r="J7" s="80">
        <f t="shared" si="0"/>
        <v>1379</v>
      </c>
      <c r="K7" s="83">
        <v>11</v>
      </c>
      <c r="L7" s="79">
        <f t="shared" si="1"/>
        <v>15169</v>
      </c>
      <c r="M7" s="85">
        <v>40</v>
      </c>
      <c r="N7" s="90">
        <f t="shared" si="2"/>
        <v>379.23</v>
      </c>
    </row>
    <row r="8" spans="1:20" x14ac:dyDescent="0.35">
      <c r="A8" s="77" t="s">
        <v>174</v>
      </c>
      <c r="B8" s="77">
        <v>66</v>
      </c>
      <c r="C8" s="77">
        <v>66</v>
      </c>
      <c r="D8" s="100">
        <v>6.44</v>
      </c>
      <c r="E8" s="100"/>
      <c r="F8" s="119">
        <v>0.79</v>
      </c>
      <c r="G8" s="118">
        <v>0.79</v>
      </c>
      <c r="H8" s="118">
        <v>4.08</v>
      </c>
      <c r="I8" s="118">
        <v>4.46</v>
      </c>
      <c r="J8" s="80">
        <f t="shared" si="0"/>
        <v>3.31</v>
      </c>
      <c r="K8" s="83">
        <v>66</v>
      </c>
      <c r="L8" s="79">
        <f t="shared" si="1"/>
        <v>218.46</v>
      </c>
      <c r="M8" s="85">
        <v>39</v>
      </c>
      <c r="N8" s="90">
        <f t="shared" si="2"/>
        <v>5.6</v>
      </c>
    </row>
    <row r="9" spans="1:20" ht="43.5" x14ac:dyDescent="0.35">
      <c r="A9" s="77" t="s">
        <v>173</v>
      </c>
      <c r="B9" s="77">
        <v>4</v>
      </c>
      <c r="C9" s="77">
        <v>4</v>
      </c>
      <c r="D9" s="100">
        <v>2624</v>
      </c>
      <c r="E9" s="122"/>
      <c r="F9" s="121">
        <v>160</v>
      </c>
      <c r="G9" s="121">
        <v>195</v>
      </c>
      <c r="H9" s="121">
        <v>288.25</v>
      </c>
      <c r="I9" s="121">
        <v>419.9</v>
      </c>
      <c r="J9" s="120">
        <f t="shared" si="0"/>
        <v>737.43</v>
      </c>
      <c r="K9" s="83">
        <v>4</v>
      </c>
      <c r="L9" s="79">
        <f t="shared" si="1"/>
        <v>2949.72</v>
      </c>
      <c r="M9" s="85">
        <v>38</v>
      </c>
      <c r="N9" s="113">
        <f t="shared" si="2"/>
        <v>77.62</v>
      </c>
    </row>
    <row r="10" spans="1:20" ht="15.5" x14ac:dyDescent="0.35">
      <c r="A10" s="98"/>
      <c r="B10" s="98"/>
      <c r="C10" s="98"/>
      <c r="D10" s="98"/>
      <c r="E10" s="98"/>
      <c r="F10" s="91"/>
      <c r="G10" s="91"/>
      <c r="H10" s="91"/>
      <c r="I10" s="91"/>
      <c r="J10" s="109" t="s">
        <v>145</v>
      </c>
      <c r="K10" s="110"/>
      <c r="L10" s="110"/>
      <c r="M10" s="111"/>
      <c r="N10" s="93">
        <f>SUM(N6:N9)/11</f>
        <v>381.89</v>
      </c>
    </row>
    <row r="11" spans="1:20" s="92" customFormat="1" ht="24.65" customHeight="1" x14ac:dyDescent="0.35">
      <c r="A11" s="203" t="s">
        <v>154</v>
      </c>
      <c r="B11" s="204"/>
      <c r="C11" s="204"/>
      <c r="D11" s="204"/>
      <c r="E11" s="204"/>
      <c r="F11" s="205"/>
      <c r="G11" s="99"/>
      <c r="H11" s="76"/>
      <c r="I11" s="76"/>
      <c r="J11" s="97" t="s">
        <v>146</v>
      </c>
      <c r="K11" s="97"/>
      <c r="L11" s="97"/>
      <c r="M11" s="97"/>
      <c r="N11" s="94">
        <f>N10/2</f>
        <v>190.95</v>
      </c>
    </row>
    <row r="14" spans="1:20" ht="18.5" x14ac:dyDescent="0.45">
      <c r="A14" s="206" t="s">
        <v>208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8"/>
    </row>
    <row r="15" spans="1:20" ht="34.75" customHeight="1" x14ac:dyDescent="0.35">
      <c r="A15" s="209" t="s">
        <v>127</v>
      </c>
      <c r="B15" s="82" t="s">
        <v>136</v>
      </c>
      <c r="C15" s="82" t="s">
        <v>137</v>
      </c>
      <c r="D15" s="82" t="s">
        <v>155</v>
      </c>
      <c r="E15" s="82" t="s">
        <v>175</v>
      </c>
      <c r="F15" s="82"/>
      <c r="G15" s="82"/>
      <c r="H15" s="82"/>
      <c r="I15" s="82"/>
      <c r="J15" s="83" t="s">
        <v>142</v>
      </c>
      <c r="K15" s="210" t="s">
        <v>129</v>
      </c>
      <c r="L15" s="210" t="s">
        <v>133</v>
      </c>
      <c r="M15" s="210" t="s">
        <v>143</v>
      </c>
      <c r="N15" s="212" t="s">
        <v>144</v>
      </c>
    </row>
    <row r="16" spans="1:20" x14ac:dyDescent="0.35">
      <c r="A16" s="209"/>
      <c r="B16" s="82"/>
      <c r="C16" s="82"/>
      <c r="D16" s="82" t="s">
        <v>128</v>
      </c>
      <c r="E16" s="82" t="s">
        <v>128</v>
      </c>
      <c r="F16" s="82" t="s">
        <v>128</v>
      </c>
      <c r="G16" s="82" t="s">
        <v>128</v>
      </c>
      <c r="H16" s="82" t="s">
        <v>128</v>
      </c>
      <c r="I16" s="82" t="s">
        <v>128</v>
      </c>
      <c r="J16" s="83" t="s">
        <v>128</v>
      </c>
      <c r="K16" s="211"/>
      <c r="L16" s="211"/>
      <c r="M16" s="211"/>
      <c r="N16" s="212"/>
    </row>
    <row r="17" spans="1:14" x14ac:dyDescent="0.35">
      <c r="A17" s="77" t="s">
        <v>185</v>
      </c>
      <c r="B17" s="77">
        <v>30</v>
      </c>
      <c r="C17" s="77">
        <v>30</v>
      </c>
      <c r="D17" s="100">
        <v>1797.5</v>
      </c>
      <c r="E17" s="100"/>
      <c r="F17" s="78">
        <v>40</v>
      </c>
      <c r="G17" s="100">
        <v>225</v>
      </c>
      <c r="H17" s="100">
        <v>330</v>
      </c>
      <c r="I17" s="100">
        <v>384.94</v>
      </c>
      <c r="J17" s="80">
        <f t="shared" ref="J17" si="3">AVERAGE(D17,E17:F17,G17:I17)</f>
        <v>555.49</v>
      </c>
      <c r="K17" s="83">
        <v>30</v>
      </c>
      <c r="L17" s="79">
        <f t="shared" ref="L17" si="4">J17*K17</f>
        <v>16664.7</v>
      </c>
      <c r="M17" s="85">
        <v>40</v>
      </c>
      <c r="N17" s="90">
        <f t="shared" ref="N17" si="5">(J17/M17)*K17</f>
        <v>416.62</v>
      </c>
    </row>
    <row r="18" spans="1:14" ht="58" x14ac:dyDescent="0.35">
      <c r="A18" s="77" t="s">
        <v>158</v>
      </c>
      <c r="B18" s="77">
        <v>30</v>
      </c>
      <c r="C18" s="77">
        <v>30</v>
      </c>
      <c r="D18" s="100">
        <v>110</v>
      </c>
      <c r="E18" s="100">
        <v>316.14999999999998</v>
      </c>
      <c r="F18" s="78">
        <v>48.07</v>
      </c>
      <c r="G18" s="100">
        <v>80</v>
      </c>
      <c r="H18" s="100">
        <v>80</v>
      </c>
      <c r="I18" s="100">
        <v>80</v>
      </c>
      <c r="J18" s="80">
        <f t="shared" ref="J18" si="6">AVERAGE(D18,E18:F18,G18:I18)</f>
        <v>119.04</v>
      </c>
      <c r="K18" s="83">
        <v>30</v>
      </c>
      <c r="L18" s="79">
        <f t="shared" ref="L18" si="7">J18*K18</f>
        <v>3571.2</v>
      </c>
      <c r="M18" s="85">
        <v>41</v>
      </c>
      <c r="N18" s="113">
        <f t="shared" ref="N18" si="8">(J18/M18)*K18</f>
        <v>87.1</v>
      </c>
    </row>
    <row r="19" spans="1:14" ht="15.5" x14ac:dyDescent="0.35">
      <c r="A19" s="134"/>
      <c r="B19" s="135"/>
      <c r="C19" s="135"/>
      <c r="D19" s="136"/>
      <c r="E19" s="136"/>
      <c r="F19" s="137"/>
      <c r="G19" s="131"/>
      <c r="H19" s="131"/>
      <c r="I19" s="131"/>
      <c r="J19" s="109" t="s">
        <v>145</v>
      </c>
      <c r="K19" s="83"/>
      <c r="L19" s="79"/>
      <c r="M19" s="85"/>
      <c r="N19" s="113">
        <f>SUM(N17:N18)/15</f>
        <v>33.58</v>
      </c>
    </row>
    <row r="20" spans="1:14" x14ac:dyDescent="0.35">
      <c r="A20" s="203" t="s">
        <v>201</v>
      </c>
      <c r="B20" s="204"/>
      <c r="C20" s="204"/>
      <c r="D20" s="204"/>
      <c r="E20" s="204"/>
      <c r="F20" s="205"/>
      <c r="G20" s="99"/>
      <c r="J20" s="97" t="s">
        <v>146</v>
      </c>
      <c r="K20" s="97"/>
      <c r="L20" s="97"/>
      <c r="M20" s="97"/>
      <c r="N20" s="94">
        <f>N19/2</f>
        <v>16.79</v>
      </c>
    </row>
    <row r="21" spans="1:14" ht="30" customHeight="1" x14ac:dyDescent="0.35">
      <c r="A21" s="203" t="s">
        <v>205</v>
      </c>
      <c r="B21" s="204"/>
      <c r="C21" s="204"/>
      <c r="D21" s="204"/>
      <c r="E21" s="204"/>
      <c r="F21" s="205"/>
    </row>
    <row r="22" spans="1:14" ht="45" customHeight="1" x14ac:dyDescent="0.35"/>
    <row r="24" spans="1:14" ht="29" x14ac:dyDescent="0.35">
      <c r="J24" s="97" t="s">
        <v>199</v>
      </c>
      <c r="K24" s="138">
        <f>N10+N19</f>
        <v>415.47</v>
      </c>
    </row>
    <row r="25" spans="1:14" ht="29" x14ac:dyDescent="0.35">
      <c r="J25" s="97" t="s">
        <v>200</v>
      </c>
      <c r="K25" s="138">
        <f>N11+N20</f>
        <v>207.74</v>
      </c>
    </row>
  </sheetData>
  <mergeCells count="16">
    <mergeCell ref="A1:N1"/>
    <mergeCell ref="A3:N3"/>
    <mergeCell ref="A4:A5"/>
    <mergeCell ref="K4:K5"/>
    <mergeCell ref="L4:L5"/>
    <mergeCell ref="M4:M5"/>
    <mergeCell ref="N4:N5"/>
    <mergeCell ref="A20:F20"/>
    <mergeCell ref="A21:F21"/>
    <mergeCell ref="A11:F11"/>
    <mergeCell ref="A14:N14"/>
    <mergeCell ref="A15:A16"/>
    <mergeCell ref="K15:K16"/>
    <mergeCell ref="L15:L16"/>
    <mergeCell ref="M15:M16"/>
    <mergeCell ref="N15:N16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8D168-871A-457C-81C5-249DA571B08A}">
  <dimension ref="A1:T26"/>
  <sheetViews>
    <sheetView topLeftCell="A4" zoomScale="70" zoomScaleNormal="70" workbookViewId="0">
      <selection activeCell="N19" sqref="N19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.453125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32.4" customHeight="1" thickBot="1" x14ac:dyDescent="0.4">
      <c r="A1" s="213" t="s">
        <v>202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203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5</v>
      </c>
      <c r="C6" s="77">
        <v>5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0" si="0">AVERAGE(D6,E6:F6,G6:I6)</f>
        <v>15.67</v>
      </c>
      <c r="K6" s="83">
        <f t="shared" ref="K6:K10" si="1">C6</f>
        <v>5</v>
      </c>
      <c r="L6" s="79">
        <f t="shared" ref="L6:L10" si="2">J6*K6</f>
        <v>78.349999999999994</v>
      </c>
      <c r="M6" s="85">
        <v>6</v>
      </c>
      <c r="N6" s="90">
        <f t="shared" ref="N6:N10" si="3">(J6/M6)*K6</f>
        <v>13.06</v>
      </c>
      <c r="O6" s="89"/>
      <c r="P6" s="89"/>
      <c r="Q6" s="89"/>
    </row>
    <row r="7" spans="1:20" x14ac:dyDescent="0.35">
      <c r="A7" s="77" t="s">
        <v>160</v>
      </c>
      <c r="B7" s="77">
        <v>19</v>
      </c>
      <c r="C7" s="77">
        <v>19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19</v>
      </c>
      <c r="L7" s="79">
        <f t="shared" si="2"/>
        <v>789.64</v>
      </c>
      <c r="M7" s="85">
        <v>36</v>
      </c>
      <c r="N7" s="90">
        <f t="shared" si="3"/>
        <v>21.93</v>
      </c>
    </row>
    <row r="8" spans="1:20" x14ac:dyDescent="0.35">
      <c r="A8" s="77" t="s">
        <v>153</v>
      </c>
      <c r="B8" s="77">
        <v>19</v>
      </c>
      <c r="C8" s="77">
        <v>19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19</v>
      </c>
      <c r="L8" s="79">
        <f t="shared" si="2"/>
        <v>1577</v>
      </c>
      <c r="M8" s="85">
        <v>30</v>
      </c>
      <c r="N8" s="90">
        <f t="shared" si="3"/>
        <v>52.57</v>
      </c>
    </row>
    <row r="9" spans="1:20" x14ac:dyDescent="0.35">
      <c r="A9" s="77" t="s">
        <v>152</v>
      </c>
      <c r="B9" s="77">
        <v>19</v>
      </c>
      <c r="C9" s="77">
        <v>19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19</v>
      </c>
      <c r="L9" s="79">
        <f t="shared" si="2"/>
        <v>15018.17</v>
      </c>
      <c r="M9" s="85">
        <v>36</v>
      </c>
      <c r="N9" s="90">
        <f t="shared" si="3"/>
        <v>417.17</v>
      </c>
    </row>
    <row r="10" spans="1:20" x14ac:dyDescent="0.35">
      <c r="A10" s="77" t="s">
        <v>171</v>
      </c>
      <c r="B10" s="77">
        <v>5</v>
      </c>
      <c r="C10" s="77">
        <v>5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5</v>
      </c>
      <c r="L10" s="79">
        <f t="shared" si="2"/>
        <v>3975.05</v>
      </c>
      <c r="M10" s="112">
        <v>40</v>
      </c>
      <c r="N10" s="90">
        <f t="shared" si="3"/>
        <v>99.38</v>
      </c>
    </row>
    <row r="11" spans="1:20" ht="15.5" x14ac:dyDescent="0.35">
      <c r="A11" s="98"/>
      <c r="B11" s="98"/>
      <c r="C11" s="98"/>
      <c r="D11" s="98"/>
      <c r="E11" s="98"/>
      <c r="F11" s="91"/>
      <c r="G11" s="91"/>
      <c r="H11" s="91"/>
      <c r="I11" s="91"/>
      <c r="J11" s="109" t="s">
        <v>145</v>
      </c>
      <c r="K11" s="110"/>
      <c r="L11" s="110"/>
      <c r="M11" s="111"/>
      <c r="N11" s="93">
        <f>SUM(N6:N10)/19</f>
        <v>31.8</v>
      </c>
    </row>
    <row r="12" spans="1:20" x14ac:dyDescent="0.35">
      <c r="A12" s="203" t="s">
        <v>154</v>
      </c>
      <c r="B12" s="204"/>
      <c r="C12" s="204"/>
      <c r="D12" s="204"/>
      <c r="E12" s="204"/>
      <c r="F12" s="205"/>
      <c r="G12" s="99"/>
      <c r="J12" s="97" t="s">
        <v>146</v>
      </c>
      <c r="K12" s="97"/>
      <c r="L12" s="97"/>
      <c r="M12" s="97"/>
      <c r="N12" s="94">
        <f>N11/2</f>
        <v>15.9</v>
      </c>
    </row>
    <row r="14" spans="1:20" ht="20.399999999999999" customHeight="1" x14ac:dyDescent="0.45">
      <c r="A14" s="206" t="s">
        <v>204</v>
      </c>
      <c r="B14" s="207"/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8"/>
    </row>
    <row r="15" spans="1:20" ht="29" x14ac:dyDescent="0.35">
      <c r="A15" s="209" t="s">
        <v>127</v>
      </c>
      <c r="B15" s="82" t="s">
        <v>136</v>
      </c>
      <c r="C15" s="82" t="s">
        <v>137</v>
      </c>
      <c r="D15" s="82" t="s">
        <v>155</v>
      </c>
      <c r="E15" s="82" t="s">
        <v>175</v>
      </c>
      <c r="F15" s="82"/>
      <c r="G15" s="82"/>
      <c r="H15" s="82"/>
      <c r="I15" s="82"/>
      <c r="J15" s="83" t="s">
        <v>142</v>
      </c>
      <c r="K15" s="210" t="s">
        <v>129</v>
      </c>
      <c r="L15" s="210" t="s">
        <v>133</v>
      </c>
      <c r="M15" s="210" t="s">
        <v>143</v>
      </c>
      <c r="N15" s="212" t="s">
        <v>144</v>
      </c>
    </row>
    <row r="16" spans="1:20" x14ac:dyDescent="0.35">
      <c r="A16" s="209"/>
      <c r="B16" s="82"/>
      <c r="C16" s="82"/>
      <c r="D16" s="82" t="s">
        <v>128</v>
      </c>
      <c r="E16" s="82" t="s">
        <v>128</v>
      </c>
      <c r="F16" s="82" t="s">
        <v>128</v>
      </c>
      <c r="G16" s="82" t="s">
        <v>128</v>
      </c>
      <c r="H16" s="82" t="s">
        <v>128</v>
      </c>
      <c r="I16" s="82" t="s">
        <v>128</v>
      </c>
      <c r="J16" s="83" t="s">
        <v>128</v>
      </c>
      <c r="K16" s="211"/>
      <c r="L16" s="211"/>
      <c r="M16" s="211"/>
      <c r="N16" s="212"/>
    </row>
    <row r="17" spans="1:14" x14ac:dyDescent="0.35">
      <c r="A17" s="77" t="s">
        <v>151</v>
      </c>
      <c r="B17" s="77">
        <v>38</v>
      </c>
      <c r="C17" s="77">
        <v>38</v>
      </c>
      <c r="D17" s="78">
        <v>25.35</v>
      </c>
      <c r="E17" s="78"/>
      <c r="F17" s="78">
        <v>10</v>
      </c>
      <c r="G17" s="78">
        <v>22.8</v>
      </c>
      <c r="H17" s="78">
        <v>27.9</v>
      </c>
      <c r="I17" s="78">
        <v>29.9</v>
      </c>
      <c r="J17" s="80">
        <f t="shared" ref="J17:J18" si="4">AVERAGE(D17,E17:F17,G17:I17)</f>
        <v>23.19</v>
      </c>
      <c r="K17" s="83">
        <f t="shared" ref="K17:K18" si="5">C17</f>
        <v>38</v>
      </c>
      <c r="L17" s="79">
        <f t="shared" ref="L17:L18" si="6">J17*K17</f>
        <v>881.22</v>
      </c>
      <c r="M17" s="108">
        <v>30</v>
      </c>
      <c r="N17" s="90">
        <f t="shared" ref="N17:N18" si="7">(J17/M17)*K17</f>
        <v>29.37</v>
      </c>
    </row>
    <row r="18" spans="1:14" ht="34.75" customHeight="1" x14ac:dyDescent="0.35">
      <c r="A18" s="77" t="s">
        <v>172</v>
      </c>
      <c r="B18" s="77">
        <v>38</v>
      </c>
      <c r="C18" s="77">
        <v>38</v>
      </c>
      <c r="D18" s="78">
        <v>12.99</v>
      </c>
      <c r="E18" s="78"/>
      <c r="F18" s="78">
        <v>6.9</v>
      </c>
      <c r="G18" s="78">
        <v>7</v>
      </c>
      <c r="H18" s="78">
        <v>8</v>
      </c>
      <c r="I18" s="107">
        <v>17.97</v>
      </c>
      <c r="J18" s="80">
        <f t="shared" si="4"/>
        <v>10.57</v>
      </c>
      <c r="K18" s="83">
        <f t="shared" si="5"/>
        <v>38</v>
      </c>
      <c r="L18" s="79">
        <f t="shared" si="6"/>
        <v>401.66</v>
      </c>
      <c r="M18" s="112">
        <v>24</v>
      </c>
      <c r="N18" s="90">
        <f t="shared" si="7"/>
        <v>16.739999999999998</v>
      </c>
    </row>
    <row r="19" spans="1:14" ht="15.5" x14ac:dyDescent="0.35">
      <c r="A19" s="134"/>
      <c r="B19" s="135"/>
      <c r="C19" s="135"/>
      <c r="D19" s="136"/>
      <c r="E19" s="136"/>
      <c r="F19" s="137"/>
      <c r="G19" s="131"/>
      <c r="H19" s="131"/>
      <c r="I19" s="131"/>
      <c r="J19" s="109" t="s">
        <v>145</v>
      </c>
      <c r="K19" s="83"/>
      <c r="L19" s="79"/>
      <c r="M19" s="85"/>
      <c r="N19" s="113">
        <f>SUM(N17:N18)/19</f>
        <v>2.4300000000000002</v>
      </c>
    </row>
    <row r="20" spans="1:14" x14ac:dyDescent="0.35">
      <c r="A20" s="203" t="s">
        <v>154</v>
      </c>
      <c r="B20" s="204"/>
      <c r="C20" s="204"/>
      <c r="D20" s="204"/>
      <c r="E20" s="204"/>
      <c r="F20" s="205"/>
      <c r="G20" s="99"/>
      <c r="J20" s="97" t="s">
        <v>146</v>
      </c>
      <c r="K20" s="97"/>
      <c r="L20" s="97"/>
      <c r="M20" s="97"/>
      <c r="N20" s="94">
        <f>N19/2</f>
        <v>1.22</v>
      </c>
    </row>
    <row r="24" spans="1:14" ht="29" x14ac:dyDescent="0.35">
      <c r="J24" s="97" t="s">
        <v>199</v>
      </c>
      <c r="K24" s="138">
        <f>N11+N19</f>
        <v>34.229999999999997</v>
      </c>
    </row>
    <row r="25" spans="1:14" ht="29" x14ac:dyDescent="0.35">
      <c r="J25" s="97" t="s">
        <v>200</v>
      </c>
      <c r="K25" s="138">
        <f>N12+N20</f>
        <v>17.12</v>
      </c>
    </row>
    <row r="26" spans="1:14" ht="45" customHeight="1" x14ac:dyDescent="0.35"/>
  </sheetData>
  <mergeCells count="15">
    <mergeCell ref="A1:N1"/>
    <mergeCell ref="A3:N3"/>
    <mergeCell ref="A4:A5"/>
    <mergeCell ref="K4:K5"/>
    <mergeCell ref="L4:L5"/>
    <mergeCell ref="M4:M5"/>
    <mergeCell ref="N4:N5"/>
    <mergeCell ref="A20:F20"/>
    <mergeCell ref="A12:F12"/>
    <mergeCell ref="A14:N14"/>
    <mergeCell ref="A15:A16"/>
    <mergeCell ref="K15:K16"/>
    <mergeCell ref="L15:L16"/>
    <mergeCell ref="M15:M16"/>
    <mergeCell ref="N15:N16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AC47-F41A-4680-8618-64E4517E415E}">
  <dimension ref="A1:N11"/>
  <sheetViews>
    <sheetView workbookViewId="0">
      <selection activeCell="L20" sqref="L20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14" ht="18.5" x14ac:dyDescent="0.45">
      <c r="A1" s="223" t="s">
        <v>159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86"/>
    </row>
    <row r="2" spans="1:14" ht="29" x14ac:dyDescent="0.35">
      <c r="A2" s="209" t="s">
        <v>127</v>
      </c>
      <c r="B2" s="209" t="s">
        <v>136</v>
      </c>
      <c r="C2" s="209" t="s">
        <v>137</v>
      </c>
      <c r="D2" s="82" t="s">
        <v>155</v>
      </c>
      <c r="E2" s="82"/>
      <c r="F2" s="82"/>
      <c r="G2" s="82"/>
      <c r="H2" s="82"/>
      <c r="I2" s="82"/>
      <c r="J2" s="82"/>
      <c r="K2" s="224" t="s">
        <v>142</v>
      </c>
      <c r="L2" s="224" t="s">
        <v>129</v>
      </c>
      <c r="M2" s="224" t="s">
        <v>133</v>
      </c>
      <c r="N2" s="217"/>
    </row>
    <row r="3" spans="1:14" x14ac:dyDescent="0.35">
      <c r="A3" s="209"/>
      <c r="B3" s="209"/>
      <c r="C3" s="209"/>
      <c r="D3" s="82" t="s">
        <v>128</v>
      </c>
      <c r="E3" s="82" t="s">
        <v>128</v>
      </c>
      <c r="F3" s="82" t="s">
        <v>128</v>
      </c>
      <c r="G3" s="82" t="s">
        <v>128</v>
      </c>
      <c r="H3" s="82" t="s">
        <v>128</v>
      </c>
      <c r="I3" s="82" t="s">
        <v>128</v>
      </c>
      <c r="J3" s="82" t="s">
        <v>128</v>
      </c>
      <c r="K3" s="224"/>
      <c r="L3" s="224"/>
      <c r="M3" s="224"/>
      <c r="N3" s="217"/>
    </row>
    <row r="4" spans="1:14" ht="15.5" x14ac:dyDescent="0.35">
      <c r="A4" s="81" t="s">
        <v>161</v>
      </c>
      <c r="B4" s="81">
        <v>2</v>
      </c>
      <c r="C4" s="81">
        <f>B4*2</f>
        <v>4</v>
      </c>
      <c r="D4" s="104">
        <v>365.8</v>
      </c>
      <c r="E4" s="78"/>
      <c r="F4" s="78">
        <v>220</v>
      </c>
      <c r="G4" s="78">
        <v>365.8</v>
      </c>
      <c r="H4" s="78">
        <v>642.85</v>
      </c>
      <c r="I4" s="78"/>
      <c r="J4" s="78"/>
      <c r="K4" s="80">
        <f t="shared" ref="K4:K9" si="0">D4</f>
        <v>365.8</v>
      </c>
      <c r="L4" s="83">
        <v>4</v>
      </c>
      <c r="M4" s="79">
        <f t="shared" ref="M4:M9" si="1">K4*L4</f>
        <v>1463.2</v>
      </c>
      <c r="N4" s="87"/>
    </row>
    <row r="5" spans="1:14" ht="15.5" x14ac:dyDescent="0.35">
      <c r="A5" s="77" t="s">
        <v>138</v>
      </c>
      <c r="B5" s="77">
        <v>2</v>
      </c>
      <c r="C5" s="81">
        <f>B5*2</f>
        <v>4</v>
      </c>
      <c r="D5" s="104">
        <v>47.9</v>
      </c>
      <c r="E5" s="78"/>
      <c r="F5" s="78">
        <v>23.99</v>
      </c>
      <c r="G5" s="78">
        <v>23.99</v>
      </c>
      <c r="H5" s="78">
        <v>36</v>
      </c>
      <c r="I5" s="78">
        <v>59.8</v>
      </c>
      <c r="J5" s="78">
        <v>73.5</v>
      </c>
      <c r="K5" s="80">
        <f t="shared" si="0"/>
        <v>47.9</v>
      </c>
      <c r="L5" s="83">
        <v>4</v>
      </c>
      <c r="M5" s="79">
        <f t="shared" si="1"/>
        <v>191.6</v>
      </c>
      <c r="N5" s="87"/>
    </row>
    <row r="6" spans="1:14" ht="18" customHeight="1" x14ac:dyDescent="0.35">
      <c r="A6" s="77" t="s">
        <v>139</v>
      </c>
      <c r="B6" s="77">
        <v>1</v>
      </c>
      <c r="C6" s="81">
        <f>B6*2</f>
        <v>2</v>
      </c>
      <c r="D6" s="104">
        <v>74.989999999999995</v>
      </c>
      <c r="E6" s="78"/>
      <c r="F6" s="78">
        <v>74.989999999999995</v>
      </c>
      <c r="G6" s="78">
        <v>74.989999999999995</v>
      </c>
      <c r="H6" s="78">
        <v>74.989999999999995</v>
      </c>
      <c r="I6" s="78">
        <v>74.989999999999995</v>
      </c>
      <c r="J6" s="78">
        <v>74.989999999999995</v>
      </c>
      <c r="K6" s="80">
        <f t="shared" si="0"/>
        <v>74.989999999999995</v>
      </c>
      <c r="L6" s="83">
        <v>2</v>
      </c>
      <c r="M6" s="79">
        <f t="shared" si="1"/>
        <v>149.97999999999999</v>
      </c>
      <c r="N6" s="87"/>
    </row>
    <row r="7" spans="1:14" ht="18" customHeight="1" x14ac:dyDescent="0.35">
      <c r="A7" s="77" t="s">
        <v>150</v>
      </c>
      <c r="B7" s="77">
        <v>2</v>
      </c>
      <c r="C7" s="81">
        <v>4</v>
      </c>
      <c r="D7" s="105">
        <v>41</v>
      </c>
      <c r="E7" s="78"/>
      <c r="F7" s="78">
        <v>40</v>
      </c>
      <c r="G7" s="78">
        <v>42</v>
      </c>
      <c r="H7" s="78"/>
      <c r="I7" s="78"/>
      <c r="J7" s="78"/>
      <c r="K7" s="80">
        <f t="shared" si="0"/>
        <v>41</v>
      </c>
      <c r="L7" s="83">
        <v>4</v>
      </c>
      <c r="M7" s="79">
        <f t="shared" si="1"/>
        <v>164</v>
      </c>
      <c r="N7" s="87"/>
    </row>
    <row r="8" spans="1:14" ht="18" customHeight="1" x14ac:dyDescent="0.35">
      <c r="A8" s="77" t="s">
        <v>156</v>
      </c>
      <c r="B8" s="77">
        <v>1</v>
      </c>
      <c r="C8" s="81">
        <v>2</v>
      </c>
      <c r="D8" s="105">
        <v>73.5</v>
      </c>
      <c r="E8" s="78"/>
      <c r="F8" s="78">
        <v>59.25</v>
      </c>
      <c r="G8" s="78">
        <v>62</v>
      </c>
      <c r="H8" s="78">
        <v>64.989999999999995</v>
      </c>
      <c r="I8" s="78">
        <v>82</v>
      </c>
      <c r="J8" s="78">
        <v>88</v>
      </c>
      <c r="K8" s="80">
        <f t="shared" si="0"/>
        <v>73.5</v>
      </c>
      <c r="L8" s="83">
        <v>2</v>
      </c>
      <c r="M8" s="79">
        <f t="shared" si="1"/>
        <v>147</v>
      </c>
      <c r="N8" s="87"/>
    </row>
    <row r="9" spans="1:14" ht="18" customHeight="1" x14ac:dyDescent="0.35">
      <c r="A9" s="77" t="s">
        <v>140</v>
      </c>
      <c r="B9" s="77">
        <v>4</v>
      </c>
      <c r="C9" s="81">
        <f>B9*2</f>
        <v>8</v>
      </c>
      <c r="D9" s="104">
        <v>8</v>
      </c>
      <c r="E9" s="78"/>
      <c r="F9" s="78">
        <v>3</v>
      </c>
      <c r="G9" s="78">
        <v>5.9</v>
      </c>
      <c r="H9" s="78">
        <v>6.8</v>
      </c>
      <c r="I9" s="78">
        <v>8</v>
      </c>
      <c r="J9" s="78">
        <v>10.1</v>
      </c>
      <c r="K9" s="80">
        <f t="shared" si="0"/>
        <v>8</v>
      </c>
      <c r="L9" s="83">
        <v>8</v>
      </c>
      <c r="M9" s="79">
        <f t="shared" si="1"/>
        <v>64</v>
      </c>
      <c r="N9" s="87"/>
    </row>
    <row r="10" spans="1:14" ht="18" customHeight="1" thickBot="1" x14ac:dyDescent="0.4">
      <c r="A10" s="77"/>
      <c r="B10" s="77"/>
      <c r="C10" s="77"/>
      <c r="D10" s="106"/>
      <c r="E10" s="77"/>
      <c r="F10" s="77"/>
      <c r="G10" s="77"/>
      <c r="H10" s="218" t="s">
        <v>147</v>
      </c>
      <c r="I10" s="219"/>
      <c r="J10" s="219"/>
      <c r="K10" s="219"/>
      <c r="L10" s="220"/>
      <c r="M10" s="132">
        <f>SUM(M4:M9)</f>
        <v>2179.7800000000002</v>
      </c>
      <c r="N10" s="87"/>
    </row>
    <row r="11" spans="1:14" ht="15" thickBot="1" x14ac:dyDescent="0.4">
      <c r="A11" s="77"/>
      <c r="B11" s="77"/>
      <c r="C11" s="77"/>
      <c r="D11" s="77"/>
      <c r="E11" s="77"/>
      <c r="F11" s="77"/>
      <c r="G11" s="77"/>
      <c r="H11" s="221" t="s">
        <v>146</v>
      </c>
      <c r="I11" s="222"/>
      <c r="J11" s="222"/>
      <c r="K11" s="222"/>
      <c r="L11" s="222"/>
      <c r="M11" s="133">
        <f>M10/12</f>
        <v>181.65</v>
      </c>
      <c r="N11" s="88"/>
    </row>
  </sheetData>
  <mergeCells count="10">
    <mergeCell ref="N2:N3"/>
    <mergeCell ref="H10:L10"/>
    <mergeCell ref="H11:L11"/>
    <mergeCell ref="A1:M1"/>
    <mergeCell ref="A2:A3"/>
    <mergeCell ref="B2:B3"/>
    <mergeCell ref="C2:C3"/>
    <mergeCell ref="K2:K3"/>
    <mergeCell ref="L2:L3"/>
    <mergeCell ref="M2:M3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35745-7154-4618-B2D3-78DDB0BB494F}">
  <dimension ref="A1:T28"/>
  <sheetViews>
    <sheetView topLeftCell="A2" zoomScale="55" zoomScaleNormal="55" workbookViewId="0">
      <selection activeCell="B11" sqref="B11:C11"/>
    </sheetView>
  </sheetViews>
  <sheetFormatPr defaultColWidth="9.08984375" defaultRowHeight="14.5" x14ac:dyDescent="0.35"/>
  <cols>
    <col min="1" max="1" width="27.6328125" style="76" customWidth="1"/>
    <col min="2" max="3" width="11.453125" style="76" bestFit="1" customWidth="1"/>
    <col min="4" max="4" width="13.6328125" style="76" bestFit="1" customWidth="1"/>
    <col min="5" max="5" width="15.08984375" style="76" customWidth="1"/>
    <col min="6" max="9" width="13.6328125" style="76" bestFit="1" customWidth="1"/>
    <col min="10" max="10" width="28.6328125" style="76" bestFit="1" customWidth="1"/>
    <col min="11" max="11" width="11" style="76" bestFit="1" customWidth="1"/>
    <col min="12" max="12" width="15.453125" style="76" customWidth="1"/>
    <col min="13" max="13" width="13.453125" style="76" customWidth="1"/>
    <col min="14" max="14" width="15" style="76" customWidth="1"/>
    <col min="15" max="15" width="9.08984375" style="75"/>
    <col min="16" max="16" width="10" style="75" bestFit="1" customWidth="1"/>
    <col min="17" max="18" width="9.08984375" style="75"/>
    <col min="19" max="19" width="10" style="75" bestFit="1" customWidth="1"/>
    <col min="20" max="16384" width="9.08984375" style="75"/>
  </cols>
  <sheetData>
    <row r="1" spans="1:20" ht="32.4" customHeight="1" thickBot="1" x14ac:dyDescent="0.4">
      <c r="A1" s="213" t="s">
        <v>190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5"/>
    </row>
    <row r="3" spans="1:20" ht="18.5" x14ac:dyDescent="0.45">
      <c r="A3" s="216" t="s">
        <v>170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</row>
    <row r="4" spans="1:20" ht="29" x14ac:dyDescent="0.35">
      <c r="A4" s="209" t="s">
        <v>127</v>
      </c>
      <c r="B4" s="82" t="s">
        <v>136</v>
      </c>
      <c r="C4" s="82" t="s">
        <v>137</v>
      </c>
      <c r="D4" s="82" t="s">
        <v>155</v>
      </c>
      <c r="E4" s="82"/>
      <c r="F4" s="82"/>
      <c r="G4" s="82"/>
      <c r="H4" s="82"/>
      <c r="I4" s="82"/>
      <c r="J4" s="83" t="s">
        <v>142</v>
      </c>
      <c r="K4" s="210" t="s">
        <v>129</v>
      </c>
      <c r="L4" s="210" t="s">
        <v>133</v>
      </c>
      <c r="M4" s="210" t="s">
        <v>143</v>
      </c>
      <c r="N4" s="212" t="s">
        <v>144</v>
      </c>
      <c r="P4" s="89"/>
      <c r="Q4" s="89"/>
      <c r="S4" s="89"/>
    </row>
    <row r="5" spans="1:20" x14ac:dyDescent="0.35">
      <c r="A5" s="209"/>
      <c r="B5" s="82"/>
      <c r="C5" s="82"/>
      <c r="D5" s="82" t="s">
        <v>128</v>
      </c>
      <c r="E5" s="82" t="s">
        <v>128</v>
      </c>
      <c r="F5" s="82" t="s">
        <v>128</v>
      </c>
      <c r="G5" s="82" t="s">
        <v>128</v>
      </c>
      <c r="H5" s="82" t="s">
        <v>128</v>
      </c>
      <c r="I5" s="82" t="s">
        <v>128</v>
      </c>
      <c r="J5" s="83" t="s">
        <v>128</v>
      </c>
      <c r="K5" s="211"/>
      <c r="L5" s="211"/>
      <c r="M5" s="211"/>
      <c r="N5" s="212"/>
      <c r="Q5" s="89"/>
      <c r="S5" s="89"/>
      <c r="T5" s="89"/>
    </row>
    <row r="6" spans="1:20" x14ac:dyDescent="0.35">
      <c r="A6" s="77" t="s">
        <v>141</v>
      </c>
      <c r="B6" s="77">
        <v>1</v>
      </c>
      <c r="C6" s="77">
        <v>1</v>
      </c>
      <c r="D6" s="78">
        <v>20.190000000000001</v>
      </c>
      <c r="E6" s="78"/>
      <c r="F6" s="78">
        <v>10.199999999999999</v>
      </c>
      <c r="G6" s="78">
        <v>15.48</v>
      </c>
      <c r="H6" s="78">
        <v>15.89</v>
      </c>
      <c r="I6" s="78">
        <v>16.600000000000001</v>
      </c>
      <c r="J6" s="80">
        <f t="shared" ref="J6:J14" si="0">AVERAGE(D6,E6:F6,G6:I6)</f>
        <v>15.67</v>
      </c>
      <c r="K6" s="83">
        <f t="shared" ref="K6:K10" si="1">C6</f>
        <v>1</v>
      </c>
      <c r="L6" s="79">
        <f t="shared" ref="L6:L14" si="2">J6*K6</f>
        <v>15.67</v>
      </c>
      <c r="M6" s="85">
        <v>6</v>
      </c>
      <c r="N6" s="90">
        <f>(J6/M6)*K6</f>
        <v>2.61</v>
      </c>
      <c r="O6" s="89"/>
      <c r="P6" s="89"/>
      <c r="Q6" s="89"/>
    </row>
    <row r="7" spans="1:20" x14ac:dyDescent="0.35">
      <c r="A7" s="77" t="s">
        <v>160</v>
      </c>
      <c r="B7" s="77">
        <v>4</v>
      </c>
      <c r="C7" s="77">
        <v>4</v>
      </c>
      <c r="D7" s="78">
        <v>47</v>
      </c>
      <c r="E7" s="78"/>
      <c r="F7" s="78">
        <v>28</v>
      </c>
      <c r="G7" s="78">
        <v>42</v>
      </c>
      <c r="H7" s="78">
        <v>43.78</v>
      </c>
      <c r="I7" s="78">
        <v>47</v>
      </c>
      <c r="J7" s="80">
        <f t="shared" si="0"/>
        <v>41.56</v>
      </c>
      <c r="K7" s="83">
        <f t="shared" si="1"/>
        <v>4</v>
      </c>
      <c r="L7" s="79">
        <f t="shared" si="2"/>
        <v>166.24</v>
      </c>
      <c r="M7" s="85">
        <v>36</v>
      </c>
      <c r="N7" s="90">
        <f t="shared" ref="N7:N14" si="3">(J7/M7)*K7</f>
        <v>4.62</v>
      </c>
    </row>
    <row r="8" spans="1:20" x14ac:dyDescent="0.35">
      <c r="A8" s="77" t="s">
        <v>153</v>
      </c>
      <c r="B8" s="77">
        <v>4</v>
      </c>
      <c r="C8" s="77">
        <v>4</v>
      </c>
      <c r="D8" s="78">
        <v>79</v>
      </c>
      <c r="E8" s="78"/>
      <c r="F8" s="78">
        <v>79</v>
      </c>
      <c r="G8" s="78">
        <v>79</v>
      </c>
      <c r="H8" s="78">
        <v>79</v>
      </c>
      <c r="I8" s="78">
        <v>99</v>
      </c>
      <c r="J8" s="80">
        <f t="shared" si="0"/>
        <v>83</v>
      </c>
      <c r="K8" s="83">
        <f t="shared" si="1"/>
        <v>4</v>
      </c>
      <c r="L8" s="79">
        <f t="shared" si="2"/>
        <v>332</v>
      </c>
      <c r="M8" s="85">
        <v>30</v>
      </c>
      <c r="N8" s="90">
        <f t="shared" si="3"/>
        <v>11.07</v>
      </c>
    </row>
    <row r="9" spans="1:20" x14ac:dyDescent="0.35">
      <c r="A9" s="77" t="s">
        <v>152</v>
      </c>
      <c r="B9" s="77">
        <v>4</v>
      </c>
      <c r="C9" s="77">
        <v>4</v>
      </c>
      <c r="D9" s="78">
        <v>2292.5</v>
      </c>
      <c r="E9" s="78"/>
      <c r="F9" s="78">
        <v>387.65</v>
      </c>
      <c r="G9" s="78">
        <v>395</v>
      </c>
      <c r="H9" s="78">
        <v>427</v>
      </c>
      <c r="I9" s="78">
        <v>450</v>
      </c>
      <c r="J9" s="80">
        <f t="shared" si="0"/>
        <v>790.43</v>
      </c>
      <c r="K9" s="83">
        <f t="shared" si="1"/>
        <v>4</v>
      </c>
      <c r="L9" s="79">
        <f t="shared" si="2"/>
        <v>3161.72</v>
      </c>
      <c r="M9" s="85">
        <v>36</v>
      </c>
      <c r="N9" s="90">
        <f t="shared" si="3"/>
        <v>87.83</v>
      </c>
    </row>
    <row r="10" spans="1:20" x14ac:dyDescent="0.35">
      <c r="A10" s="77" t="s">
        <v>171</v>
      </c>
      <c r="B10" s="77">
        <v>1</v>
      </c>
      <c r="C10" s="77">
        <v>1</v>
      </c>
      <c r="D10" s="78">
        <v>795.01</v>
      </c>
      <c r="E10" s="78"/>
      <c r="F10" s="78">
        <v>445</v>
      </c>
      <c r="G10" s="78">
        <v>1145.02</v>
      </c>
      <c r="H10" s="78"/>
      <c r="I10" s="107"/>
      <c r="J10" s="80">
        <f t="shared" si="0"/>
        <v>795.01</v>
      </c>
      <c r="K10" s="83">
        <f t="shared" si="1"/>
        <v>1</v>
      </c>
      <c r="L10" s="79">
        <f t="shared" si="2"/>
        <v>795.01</v>
      </c>
      <c r="M10" s="112">
        <v>40</v>
      </c>
      <c r="N10" s="90">
        <f t="shared" si="3"/>
        <v>19.88</v>
      </c>
    </row>
    <row r="11" spans="1:20" x14ac:dyDescent="0.35">
      <c r="A11" s="77" t="s">
        <v>157</v>
      </c>
      <c r="B11" s="77">
        <v>4</v>
      </c>
      <c r="C11" s="77">
        <v>4</v>
      </c>
      <c r="D11" s="100">
        <v>12834.86</v>
      </c>
      <c r="E11" s="100"/>
      <c r="F11" s="124">
        <v>11436.5</v>
      </c>
      <c r="G11" s="123">
        <v>12419.6</v>
      </c>
      <c r="H11" s="123">
        <v>12384.86</v>
      </c>
      <c r="I11" s="123">
        <v>13796.72</v>
      </c>
      <c r="J11" s="80">
        <f t="shared" si="0"/>
        <v>12574.51</v>
      </c>
      <c r="K11" s="83">
        <v>4</v>
      </c>
      <c r="L11" s="79">
        <f t="shared" si="2"/>
        <v>50298.04</v>
      </c>
      <c r="M11" s="85">
        <v>37</v>
      </c>
      <c r="N11" s="90">
        <f t="shared" si="3"/>
        <v>1359.41</v>
      </c>
    </row>
    <row r="12" spans="1:20" x14ac:dyDescent="0.35">
      <c r="A12" s="77" t="s">
        <v>184</v>
      </c>
      <c r="B12" s="77">
        <v>4</v>
      </c>
      <c r="C12" s="77">
        <v>4</v>
      </c>
      <c r="D12" s="100">
        <v>1520</v>
      </c>
      <c r="E12" s="100"/>
      <c r="F12" s="78">
        <v>1215</v>
      </c>
      <c r="G12" s="100">
        <v>1300</v>
      </c>
      <c r="H12" s="100">
        <v>1430</v>
      </c>
      <c r="I12" s="100">
        <v>1430</v>
      </c>
      <c r="J12" s="80">
        <f t="shared" si="0"/>
        <v>1379</v>
      </c>
      <c r="K12" s="83">
        <v>4</v>
      </c>
      <c r="L12" s="79">
        <f t="shared" si="2"/>
        <v>5516</v>
      </c>
      <c r="M12" s="85">
        <v>40</v>
      </c>
      <c r="N12" s="90">
        <f t="shared" si="3"/>
        <v>137.9</v>
      </c>
    </row>
    <row r="13" spans="1:20" x14ac:dyDescent="0.35">
      <c r="A13" s="77" t="s">
        <v>174</v>
      </c>
      <c r="B13" s="77">
        <v>24</v>
      </c>
      <c r="C13" s="77">
        <v>24</v>
      </c>
      <c r="D13" s="100">
        <v>6.44</v>
      </c>
      <c r="E13" s="100"/>
      <c r="F13" s="119">
        <v>0.79</v>
      </c>
      <c r="G13" s="118">
        <v>0.79</v>
      </c>
      <c r="H13" s="118">
        <v>4.08</v>
      </c>
      <c r="I13" s="118">
        <v>4.46</v>
      </c>
      <c r="J13" s="80">
        <f t="shared" si="0"/>
        <v>3.31</v>
      </c>
      <c r="K13" s="83">
        <v>24</v>
      </c>
      <c r="L13" s="79">
        <f t="shared" si="2"/>
        <v>79.44</v>
      </c>
      <c r="M13" s="85">
        <v>39</v>
      </c>
      <c r="N13" s="90">
        <f t="shared" si="3"/>
        <v>2.04</v>
      </c>
    </row>
    <row r="14" spans="1:20" ht="43.5" x14ac:dyDescent="0.35">
      <c r="A14" s="77" t="s">
        <v>173</v>
      </c>
      <c r="B14" s="77">
        <v>1</v>
      </c>
      <c r="C14" s="77">
        <v>1</v>
      </c>
      <c r="D14" s="100">
        <v>2624</v>
      </c>
      <c r="E14" s="122"/>
      <c r="F14" s="121">
        <v>160</v>
      </c>
      <c r="G14" s="121">
        <v>195</v>
      </c>
      <c r="H14" s="121">
        <v>288.25</v>
      </c>
      <c r="I14" s="121">
        <v>419.9</v>
      </c>
      <c r="J14" s="120">
        <f t="shared" si="0"/>
        <v>737.43</v>
      </c>
      <c r="K14" s="83">
        <v>1</v>
      </c>
      <c r="L14" s="79">
        <f t="shared" si="2"/>
        <v>737.43</v>
      </c>
      <c r="M14" s="85">
        <v>38</v>
      </c>
      <c r="N14" s="90">
        <f t="shared" si="3"/>
        <v>19.41</v>
      </c>
    </row>
    <row r="15" spans="1:20" s="92" customFormat="1" ht="15.75" customHeight="1" x14ac:dyDescent="0.35">
      <c r="A15" s="98"/>
      <c r="B15" s="98"/>
      <c r="C15" s="98"/>
      <c r="D15" s="98"/>
      <c r="E15" s="98"/>
      <c r="F15" s="91"/>
      <c r="G15" s="91"/>
      <c r="H15" s="91"/>
      <c r="I15" s="91"/>
      <c r="J15" s="109" t="s">
        <v>145</v>
      </c>
      <c r="K15" s="110"/>
      <c r="L15" s="110"/>
      <c r="M15" s="111"/>
      <c r="N15" s="93">
        <f>SUM(N6:N14)/8</f>
        <v>205.6</v>
      </c>
    </row>
    <row r="16" spans="1:20" ht="39.75" customHeight="1" x14ac:dyDescent="0.35">
      <c r="A16" s="203" t="s">
        <v>154</v>
      </c>
      <c r="B16" s="204"/>
      <c r="C16" s="204"/>
      <c r="D16" s="204"/>
      <c r="E16" s="204"/>
      <c r="F16" s="205"/>
      <c r="G16" s="99"/>
      <c r="J16" s="97" t="s">
        <v>146</v>
      </c>
      <c r="K16" s="97"/>
      <c r="L16" s="97"/>
      <c r="M16" s="97"/>
      <c r="N16" s="94">
        <f>N15/2</f>
        <v>102.8</v>
      </c>
    </row>
    <row r="20" spans="1:14" ht="18.75" customHeight="1" x14ac:dyDescent="0.45">
      <c r="A20" s="206" t="s">
        <v>189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8"/>
    </row>
    <row r="21" spans="1:14" ht="29" x14ac:dyDescent="0.35">
      <c r="A21" s="209" t="s">
        <v>127</v>
      </c>
      <c r="B21" s="82" t="s">
        <v>136</v>
      </c>
      <c r="C21" s="82" t="s">
        <v>137</v>
      </c>
      <c r="D21" s="82" t="s">
        <v>155</v>
      </c>
      <c r="E21" s="82" t="s">
        <v>175</v>
      </c>
      <c r="F21" s="82"/>
      <c r="G21" s="82"/>
      <c r="H21" s="82"/>
      <c r="I21" s="82"/>
      <c r="J21" s="83" t="s">
        <v>142</v>
      </c>
      <c r="K21" s="210" t="s">
        <v>129</v>
      </c>
      <c r="L21" s="210" t="s">
        <v>133</v>
      </c>
      <c r="M21" s="210" t="s">
        <v>143</v>
      </c>
      <c r="N21" s="212" t="s">
        <v>144</v>
      </c>
    </row>
    <row r="22" spans="1:14" x14ac:dyDescent="0.35">
      <c r="A22" s="209"/>
      <c r="B22" s="82"/>
      <c r="C22" s="82"/>
      <c r="D22" s="82" t="s">
        <v>128</v>
      </c>
      <c r="E22" s="82" t="s">
        <v>128</v>
      </c>
      <c r="F22" s="82" t="s">
        <v>128</v>
      </c>
      <c r="G22" s="82" t="s">
        <v>128</v>
      </c>
      <c r="H22" s="82" t="s">
        <v>128</v>
      </c>
      <c r="I22" s="82" t="s">
        <v>128</v>
      </c>
      <c r="J22" s="83" t="s">
        <v>128</v>
      </c>
      <c r="K22" s="211"/>
      <c r="L22" s="211"/>
      <c r="M22" s="211"/>
      <c r="N22" s="212"/>
    </row>
    <row r="23" spans="1:14" x14ac:dyDescent="0.35">
      <c r="A23" s="77" t="s">
        <v>185</v>
      </c>
      <c r="B23" s="77">
        <v>16</v>
      </c>
      <c r="C23" s="77">
        <v>16</v>
      </c>
      <c r="D23" s="100">
        <v>1797.5</v>
      </c>
      <c r="E23" s="100"/>
      <c r="F23" s="78">
        <v>40</v>
      </c>
      <c r="G23" s="100">
        <v>225</v>
      </c>
      <c r="H23" s="100">
        <v>330</v>
      </c>
      <c r="I23" s="100">
        <v>384.94</v>
      </c>
      <c r="J23" s="80">
        <f t="shared" ref="J23:J26" si="4">AVERAGE(D23,E23:F23,G23:I23)</f>
        <v>555.49</v>
      </c>
      <c r="K23" s="83">
        <v>16</v>
      </c>
      <c r="L23" s="79">
        <f t="shared" ref="L23:L26" si="5">J23*K23</f>
        <v>8887.84</v>
      </c>
      <c r="M23" s="85">
        <v>40</v>
      </c>
      <c r="N23" s="90">
        <f t="shared" ref="N23:N26" si="6">(J23/M23)*K23</f>
        <v>222.2</v>
      </c>
    </row>
    <row r="24" spans="1:14" x14ac:dyDescent="0.35">
      <c r="A24" s="77" t="s">
        <v>151</v>
      </c>
      <c r="B24" s="77">
        <v>16</v>
      </c>
      <c r="C24" s="77">
        <v>16</v>
      </c>
      <c r="D24" s="78">
        <v>25.35</v>
      </c>
      <c r="E24" s="78"/>
      <c r="F24" s="78">
        <v>10</v>
      </c>
      <c r="G24" s="78">
        <v>22.8</v>
      </c>
      <c r="H24" s="78">
        <v>27.9</v>
      </c>
      <c r="I24" s="78">
        <v>29.9</v>
      </c>
      <c r="J24" s="80">
        <f t="shared" si="4"/>
        <v>23.19</v>
      </c>
      <c r="K24" s="83">
        <f t="shared" ref="K24:K25" si="7">C24</f>
        <v>16</v>
      </c>
      <c r="L24" s="79">
        <f t="shared" si="5"/>
        <v>371.04</v>
      </c>
      <c r="M24" s="108">
        <v>30</v>
      </c>
      <c r="N24" s="90">
        <f t="shared" si="6"/>
        <v>12.37</v>
      </c>
    </row>
    <row r="25" spans="1:14" ht="29" x14ac:dyDescent="0.35">
      <c r="A25" s="77" t="s">
        <v>172</v>
      </c>
      <c r="B25" s="77">
        <v>16</v>
      </c>
      <c r="C25" s="77">
        <v>16</v>
      </c>
      <c r="D25" s="78">
        <v>12.99</v>
      </c>
      <c r="E25" s="78"/>
      <c r="F25" s="78">
        <v>6.9</v>
      </c>
      <c r="G25" s="78">
        <v>7</v>
      </c>
      <c r="H25" s="78">
        <v>8</v>
      </c>
      <c r="I25" s="107">
        <v>17.97</v>
      </c>
      <c r="J25" s="80">
        <f t="shared" si="4"/>
        <v>10.57</v>
      </c>
      <c r="K25" s="83">
        <f t="shared" si="7"/>
        <v>16</v>
      </c>
      <c r="L25" s="79">
        <f t="shared" si="5"/>
        <v>169.12</v>
      </c>
      <c r="M25" s="112">
        <v>24</v>
      </c>
      <c r="N25" s="90">
        <f t="shared" si="6"/>
        <v>7.05</v>
      </c>
    </row>
    <row r="26" spans="1:14" ht="58" x14ac:dyDescent="0.35">
      <c r="A26" s="77" t="s">
        <v>158</v>
      </c>
      <c r="B26" s="77">
        <v>16</v>
      </c>
      <c r="C26" s="77">
        <v>16</v>
      </c>
      <c r="D26" s="100">
        <v>110</v>
      </c>
      <c r="E26" s="100">
        <v>316.14999999999998</v>
      </c>
      <c r="F26" s="78">
        <v>48.07</v>
      </c>
      <c r="G26" s="100">
        <v>80</v>
      </c>
      <c r="H26" s="100">
        <v>80</v>
      </c>
      <c r="I26" s="100">
        <v>80</v>
      </c>
      <c r="J26" s="80">
        <f t="shared" si="4"/>
        <v>119.04</v>
      </c>
      <c r="K26" s="83">
        <v>16</v>
      </c>
      <c r="L26" s="79">
        <f t="shared" si="5"/>
        <v>1904.64</v>
      </c>
      <c r="M26" s="85">
        <v>41</v>
      </c>
      <c r="N26" s="113">
        <f t="shared" si="6"/>
        <v>46.45</v>
      </c>
    </row>
    <row r="27" spans="1:14" ht="15.5" x14ac:dyDescent="0.35">
      <c r="A27" s="134"/>
      <c r="B27" s="135"/>
      <c r="C27" s="135"/>
      <c r="D27" s="136"/>
      <c r="E27" s="136"/>
      <c r="F27" s="137"/>
      <c r="G27" s="131"/>
      <c r="H27" s="131"/>
      <c r="I27" s="131"/>
      <c r="J27" s="109" t="s">
        <v>145</v>
      </c>
      <c r="K27" s="83"/>
      <c r="L27" s="79"/>
      <c r="M27" s="85"/>
      <c r="N27" s="113">
        <f>SUM(N23:N26)/8</f>
        <v>36.01</v>
      </c>
    </row>
    <row r="28" spans="1:14" ht="45" customHeight="1" x14ac:dyDescent="0.35">
      <c r="A28" s="203" t="s">
        <v>154</v>
      </c>
      <c r="B28" s="204"/>
      <c r="C28" s="204"/>
      <c r="D28" s="204"/>
      <c r="E28" s="204"/>
      <c r="F28" s="205"/>
      <c r="G28" s="99"/>
      <c r="J28" s="97" t="s">
        <v>146</v>
      </c>
      <c r="K28" s="97"/>
      <c r="L28" s="97"/>
      <c r="M28" s="97"/>
      <c r="N28" s="94">
        <f>N27/2</f>
        <v>18.010000000000002</v>
      </c>
    </row>
  </sheetData>
  <mergeCells count="15">
    <mergeCell ref="A1:N1"/>
    <mergeCell ref="A28:F28"/>
    <mergeCell ref="A20:N20"/>
    <mergeCell ref="A21:A22"/>
    <mergeCell ref="K21:K22"/>
    <mergeCell ref="L21:L22"/>
    <mergeCell ref="M21:M22"/>
    <mergeCell ref="N21:N22"/>
    <mergeCell ref="A16:F16"/>
    <mergeCell ref="N4:N5"/>
    <mergeCell ref="A3:N3"/>
    <mergeCell ref="A4:A5"/>
    <mergeCell ref="K4:K5"/>
    <mergeCell ref="L4:L5"/>
    <mergeCell ref="M4:M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4</vt:i4>
      </vt:variant>
    </vt:vector>
  </HeadingPairs>
  <TitlesOfParts>
    <vt:vector size="17" baseType="lpstr">
      <vt:lpstr>RESUMO</vt:lpstr>
      <vt:lpstr> Vigilante Diurno Armado</vt:lpstr>
      <vt:lpstr> Vigilante Noturno Armado</vt:lpstr>
      <vt:lpstr> Vigilante Diurno Desarmado</vt:lpstr>
      <vt:lpstr> Vigilante Noturno Desarmado</vt:lpstr>
      <vt:lpstr>Equipamentos - vigilante armado</vt:lpstr>
      <vt:lpstr>Equipamentos - uso comum </vt:lpstr>
      <vt:lpstr>Uniforme </vt:lpstr>
      <vt:lpstr>Equipamento - MinC (BDB)</vt:lpstr>
      <vt:lpstr>Equipamento - MinC (Venâcio)</vt:lpstr>
      <vt:lpstr>Equipamento - Turismo (BLOCO U)</vt:lpstr>
      <vt:lpstr>Equipamento - Turismo (funasa)</vt:lpstr>
      <vt:lpstr>Equipamento - Turismo (EBC)</vt:lpstr>
      <vt:lpstr>' Vigilante Diurno Armado'!Area_de_impressao</vt:lpstr>
      <vt:lpstr>' Vigilante Diurno Desarmado'!Area_de_impressao</vt:lpstr>
      <vt:lpstr>' Vigilante Noturno Armado'!Area_de_impressao</vt:lpstr>
      <vt:lpstr>' Vigilante Noturno Desarmado'!Area_de_impressao</vt:lpstr>
    </vt:vector>
  </TitlesOfParts>
  <Company>Controladoria-Geral da União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Ferreira de Macedo</dc:creator>
  <cp:lastModifiedBy>Frederico Guimaraes Cardoso</cp:lastModifiedBy>
  <cp:lastPrinted>2019-10-23T19:54:27Z</cp:lastPrinted>
  <dcterms:created xsi:type="dcterms:W3CDTF">2013-07-25T13:44:18Z</dcterms:created>
  <dcterms:modified xsi:type="dcterms:W3CDTF">2024-11-14T15:00:21Z</dcterms:modified>
</cp:coreProperties>
</file>